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7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8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9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10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11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12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drawings/drawing13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filterPrivacy="1" updateLinks="never"/>
  <bookViews>
    <workbookView xWindow="0" yWindow="0" windowWidth="20490" windowHeight="7755"/>
  </bookViews>
  <sheets>
    <sheet name="Total Ano" sheetId="48" r:id="rId1"/>
    <sheet name="Jan" sheetId="33" r:id="rId2"/>
    <sheet name="Fev" sheetId="36" r:id="rId3"/>
    <sheet name="Mar" sheetId="37" r:id="rId4"/>
    <sheet name="Abr" sheetId="38" r:id="rId5"/>
    <sheet name="Mai" sheetId="39" r:id="rId6"/>
    <sheet name="Jun" sheetId="40" r:id="rId7"/>
    <sheet name="Jul" sheetId="42" r:id="rId8"/>
    <sheet name="Ago" sheetId="43" r:id="rId9"/>
    <sheet name="Set" sheetId="44" r:id="rId10"/>
    <sheet name="Out" sheetId="45" r:id="rId11"/>
    <sheet name="Nov" sheetId="46" r:id="rId12"/>
    <sheet name="Dez" sheetId="49" r:id="rId13"/>
  </sheets>
  <definedNames>
    <definedName name="AnoOrçamento" localSheetId="4">Abr!$C$2</definedName>
    <definedName name="AnoOrçamento" localSheetId="8">Ago!$C$2</definedName>
    <definedName name="AnoOrçamento" localSheetId="12">Dez!$C$2</definedName>
    <definedName name="AnoOrçamento" localSheetId="2">Fev!$C$2</definedName>
    <definedName name="AnoOrçamento" localSheetId="1">Jan!$C$2</definedName>
    <definedName name="AnoOrçamento" localSheetId="7">Jul!$C$2</definedName>
    <definedName name="AnoOrçamento" localSheetId="6">Jun!$C$2</definedName>
    <definedName name="AnoOrçamento" localSheetId="5">Mai!$C$2</definedName>
    <definedName name="AnoOrçamento" localSheetId="3">Mar!$C$2</definedName>
    <definedName name="AnoOrçamento" localSheetId="11">Nov!$C$2</definedName>
    <definedName name="AnoOrçamento" localSheetId="10">Out!$C$2</definedName>
    <definedName name="AnoOrçamento" localSheetId="9">Set!$C$2</definedName>
    <definedName name="AnoOrçamento" localSheetId="0">'Total Ano'!$C$2</definedName>
    <definedName name="AnoOrçamento">#REF!</definedName>
    <definedName name="Imprimir_Títulos" localSheetId="4">Abr!$13:$13</definedName>
    <definedName name="Imprimir_Títulos" localSheetId="8">Ago!$13:$13</definedName>
    <definedName name="Imprimir_Títulos" localSheetId="12">Dez!$13:$13</definedName>
    <definedName name="Imprimir_Títulos" localSheetId="2">Fev!$13:$13</definedName>
    <definedName name="Imprimir_Títulos" localSheetId="1">Jan!$13:$13</definedName>
    <definedName name="Imprimir_Títulos" localSheetId="7">Jul!$13:$13</definedName>
    <definedName name="Imprimir_Títulos" localSheetId="6">Jun!$13:$13</definedName>
    <definedName name="Imprimir_Títulos" localSheetId="5">Mai!$13:$13</definedName>
    <definedName name="Imprimir_Títulos" localSheetId="3">Mar!$13:$13</definedName>
    <definedName name="Imprimir_Títulos" localSheetId="11">Nov!$13:$13</definedName>
    <definedName name="Imprimir_Títulos" localSheetId="10">Out!$13:$13</definedName>
    <definedName name="Imprimir_Títulos" localSheetId="9">Set!$13:$13</definedName>
    <definedName name="Imprimir_Títulos" localSheetId="0">'Total Ano'!$13:$13</definedName>
  </definedNames>
  <calcPr calcId="171027"/>
</workbook>
</file>

<file path=xl/calcChain.xml><?xml version="1.0" encoding="utf-8"?>
<calcChain xmlns="http://schemas.openxmlformats.org/spreadsheetml/2006/main">
  <c r="N33" i="49" l="1"/>
  <c r="M33" i="49"/>
  <c r="L33" i="49"/>
  <c r="K33" i="49"/>
  <c r="J33" i="49"/>
  <c r="I33" i="49"/>
  <c r="H33" i="49"/>
  <c r="G33" i="49"/>
  <c r="F33" i="49"/>
  <c r="E33" i="49"/>
  <c r="D33" i="49"/>
  <c r="C33" i="49"/>
  <c r="N13" i="49"/>
  <c r="M13" i="49"/>
  <c r="L13" i="49"/>
  <c r="K13" i="49"/>
  <c r="J13" i="49"/>
  <c r="J5" i="49" s="1"/>
  <c r="I13" i="49"/>
  <c r="I5" i="49" s="1"/>
  <c r="H13" i="49"/>
  <c r="G13" i="49"/>
  <c r="F13" i="49"/>
  <c r="F5" i="49" s="1"/>
  <c r="E13" i="49"/>
  <c r="E5" i="49" s="1"/>
  <c r="D13" i="49"/>
  <c r="C13" i="49"/>
  <c r="C5" i="49" s="1"/>
  <c r="L5" i="49"/>
  <c r="K5" i="49"/>
  <c r="H5" i="49"/>
  <c r="G5" i="49"/>
  <c r="D5" i="49"/>
  <c r="N5" i="49" l="1"/>
  <c r="M5" i="49"/>
  <c r="O8" i="48"/>
  <c r="C9" i="48"/>
  <c r="D9" i="48"/>
  <c r="E9" i="48"/>
  <c r="F9" i="48"/>
  <c r="G9" i="48"/>
  <c r="H9" i="48"/>
  <c r="I9" i="48"/>
  <c r="J9" i="48"/>
  <c r="K9" i="48"/>
  <c r="L9" i="48"/>
  <c r="M9" i="48"/>
  <c r="N9" i="48"/>
  <c r="O9" i="48"/>
  <c r="O12" i="48"/>
  <c r="O13" i="48" s="1"/>
  <c r="C13" i="48"/>
  <c r="D13" i="48"/>
  <c r="E13" i="48"/>
  <c r="F13" i="48"/>
  <c r="F5" i="48" s="1"/>
  <c r="G13" i="48"/>
  <c r="H13" i="48"/>
  <c r="I13" i="48"/>
  <c r="J13" i="48"/>
  <c r="J5" i="48" s="1"/>
  <c r="K13" i="48"/>
  <c r="L13" i="48"/>
  <c r="M13" i="48"/>
  <c r="N13" i="48"/>
  <c r="N5" i="48" l="1"/>
  <c r="D5" i="48"/>
  <c r="G5" i="48"/>
  <c r="C5" i="48"/>
  <c r="M5" i="48"/>
  <c r="I5" i="48"/>
  <c r="E5" i="48"/>
  <c r="L5" i="48"/>
  <c r="K5" i="48"/>
  <c r="H5" i="48"/>
  <c r="O5" i="48"/>
  <c r="N35" i="46" l="1"/>
  <c r="M35" i="46"/>
  <c r="L35" i="46"/>
  <c r="K35" i="46"/>
  <c r="J35" i="46"/>
  <c r="I35" i="46"/>
  <c r="H35" i="46"/>
  <c r="G35" i="46"/>
  <c r="F35" i="46"/>
  <c r="E35" i="46"/>
  <c r="D35" i="46"/>
  <c r="C35" i="46"/>
  <c r="N13" i="46"/>
  <c r="M13" i="46"/>
  <c r="L13" i="46"/>
  <c r="K13" i="46"/>
  <c r="J13" i="46"/>
  <c r="I13" i="46"/>
  <c r="H13" i="46"/>
  <c r="G13" i="46"/>
  <c r="G5" i="46" s="1"/>
  <c r="F13" i="46"/>
  <c r="E13" i="46"/>
  <c r="D13" i="46"/>
  <c r="C13" i="46"/>
  <c r="C5" i="46" s="1"/>
  <c r="N5" i="46"/>
  <c r="J5" i="46"/>
  <c r="I5" i="46"/>
  <c r="H5" i="46"/>
  <c r="F5" i="46"/>
  <c r="E5" i="46"/>
  <c r="D5" i="46"/>
  <c r="K5" i="46" l="1"/>
  <c r="L5" i="46"/>
  <c r="M5" i="46"/>
  <c r="N32" i="45"/>
  <c r="M32" i="45"/>
  <c r="L32" i="45"/>
  <c r="K32" i="45"/>
  <c r="J32" i="45"/>
  <c r="I32" i="45"/>
  <c r="H32" i="45"/>
  <c r="G32" i="45"/>
  <c r="F32" i="45"/>
  <c r="E32" i="45"/>
  <c r="D32" i="45"/>
  <c r="C32" i="45"/>
  <c r="N13" i="45"/>
  <c r="M13" i="45"/>
  <c r="L13" i="45"/>
  <c r="K13" i="45"/>
  <c r="J13" i="45"/>
  <c r="J5" i="45" s="1"/>
  <c r="I13" i="45"/>
  <c r="I5" i="45" s="1"/>
  <c r="H13" i="45"/>
  <c r="H5" i="45" s="1"/>
  <c r="G13" i="45"/>
  <c r="G5" i="45" s="1"/>
  <c r="F13" i="45"/>
  <c r="F5" i="45" s="1"/>
  <c r="E13" i="45"/>
  <c r="E5" i="45" s="1"/>
  <c r="D13" i="45"/>
  <c r="D5" i="45" s="1"/>
  <c r="C13" i="45"/>
  <c r="C5" i="45" s="1"/>
  <c r="N5" i="45"/>
  <c r="M5" i="45" l="1"/>
  <c r="K5" i="45"/>
  <c r="L5" i="45"/>
  <c r="N34" i="44"/>
  <c r="M34" i="44"/>
  <c r="L34" i="44"/>
  <c r="K34" i="44"/>
  <c r="J34" i="44"/>
  <c r="I34" i="44"/>
  <c r="H34" i="44"/>
  <c r="G34" i="44"/>
  <c r="F34" i="44"/>
  <c r="E34" i="44"/>
  <c r="D34" i="44"/>
  <c r="C34" i="44"/>
  <c r="N13" i="44"/>
  <c r="M13" i="44"/>
  <c r="L13" i="44"/>
  <c r="K13" i="44"/>
  <c r="J13" i="44"/>
  <c r="I13" i="44"/>
  <c r="H13" i="44"/>
  <c r="H5" i="44" s="1"/>
  <c r="G13" i="44"/>
  <c r="G5" i="44" s="1"/>
  <c r="F13" i="44"/>
  <c r="F5" i="44" s="1"/>
  <c r="E13" i="44"/>
  <c r="D13" i="44"/>
  <c r="D5" i="44" s="1"/>
  <c r="C13" i="44"/>
  <c r="N5" i="44"/>
  <c r="M5" i="44"/>
  <c r="L5" i="44"/>
  <c r="I5" i="44"/>
  <c r="E5" i="44"/>
  <c r="C5" i="44" l="1"/>
  <c r="J5" i="44"/>
  <c r="K5" i="44"/>
  <c r="N31" i="43"/>
  <c r="M31" i="43"/>
  <c r="L31" i="43"/>
  <c r="K31" i="43"/>
  <c r="J31" i="43"/>
  <c r="I31" i="43"/>
  <c r="H31" i="43"/>
  <c r="G31" i="43"/>
  <c r="F31" i="43"/>
  <c r="E31" i="43"/>
  <c r="D31" i="43"/>
  <c r="C31" i="43"/>
  <c r="N13" i="43"/>
  <c r="M13" i="43"/>
  <c r="L13" i="43"/>
  <c r="K13" i="43"/>
  <c r="J13" i="43"/>
  <c r="I13" i="43"/>
  <c r="H13" i="43"/>
  <c r="G13" i="43"/>
  <c r="G5" i="43" s="1"/>
  <c r="F13" i="43"/>
  <c r="F5" i="43" s="1"/>
  <c r="E13" i="43"/>
  <c r="E5" i="43" s="1"/>
  <c r="D13" i="43"/>
  <c r="D5" i="43" s="1"/>
  <c r="C13" i="43"/>
  <c r="C5" i="43" s="1"/>
  <c r="N5" i="43"/>
  <c r="M5" i="43"/>
  <c r="L5" i="43"/>
  <c r="K5" i="43"/>
  <c r="I5" i="43"/>
  <c r="J5" i="43" l="1"/>
  <c r="H5" i="43"/>
  <c r="N31" i="42"/>
  <c r="M31" i="42"/>
  <c r="L31" i="42"/>
  <c r="K31" i="42"/>
  <c r="J31" i="42"/>
  <c r="I31" i="42"/>
  <c r="H31" i="42"/>
  <c r="G31" i="42"/>
  <c r="F31" i="42"/>
  <c r="E31" i="42"/>
  <c r="D31" i="42"/>
  <c r="C31" i="42"/>
  <c r="N13" i="42"/>
  <c r="N5" i="42" s="1"/>
  <c r="M13" i="42"/>
  <c r="M5" i="42" s="1"/>
  <c r="L13" i="42"/>
  <c r="K13" i="42"/>
  <c r="J13" i="42"/>
  <c r="J5" i="42" s="1"/>
  <c r="I13" i="42"/>
  <c r="I5" i="42" s="1"/>
  <c r="H13" i="42"/>
  <c r="G13" i="42"/>
  <c r="F13" i="42"/>
  <c r="F5" i="42" s="1"/>
  <c r="E13" i="42"/>
  <c r="E5" i="42" s="1"/>
  <c r="D13" i="42"/>
  <c r="D5" i="42" s="1"/>
  <c r="C13" i="42"/>
  <c r="L5" i="42"/>
  <c r="K5" i="42"/>
  <c r="G5" i="42"/>
  <c r="C5" i="42"/>
  <c r="H5" i="42" l="1"/>
  <c r="N31" i="40"/>
  <c r="M31" i="40"/>
  <c r="L31" i="40"/>
  <c r="K31" i="40"/>
  <c r="J31" i="40"/>
  <c r="I31" i="40"/>
  <c r="H31" i="40"/>
  <c r="G31" i="40"/>
  <c r="F31" i="40"/>
  <c r="E31" i="40"/>
  <c r="D31" i="40"/>
  <c r="C31" i="40"/>
  <c r="N13" i="40"/>
  <c r="M13" i="40"/>
  <c r="M5" i="40" s="1"/>
  <c r="L13" i="40"/>
  <c r="L5" i="40" s="1"/>
  <c r="K13" i="40"/>
  <c r="K5" i="40" s="1"/>
  <c r="J13" i="40"/>
  <c r="I13" i="40"/>
  <c r="I5" i="40" s="1"/>
  <c r="H13" i="40"/>
  <c r="G13" i="40"/>
  <c r="G5" i="40" s="1"/>
  <c r="F13" i="40"/>
  <c r="E13" i="40"/>
  <c r="E5" i="40" s="1"/>
  <c r="D13" i="40"/>
  <c r="D5" i="40" s="1"/>
  <c r="C13" i="40"/>
  <c r="C5" i="40" s="1"/>
  <c r="N31" i="39"/>
  <c r="M31" i="39"/>
  <c r="L31" i="39"/>
  <c r="K31" i="39"/>
  <c r="J31" i="39"/>
  <c r="I31" i="39"/>
  <c r="H31" i="39"/>
  <c r="G31" i="39"/>
  <c r="F31" i="39"/>
  <c r="E31" i="39"/>
  <c r="D31" i="39"/>
  <c r="C31" i="39"/>
  <c r="N13" i="39"/>
  <c r="M13" i="39"/>
  <c r="L13" i="39"/>
  <c r="K13" i="39"/>
  <c r="J13" i="39"/>
  <c r="I13" i="39"/>
  <c r="H13" i="39"/>
  <c r="G13" i="39"/>
  <c r="F13" i="39"/>
  <c r="E13" i="39"/>
  <c r="E5" i="39" s="1"/>
  <c r="D13" i="39"/>
  <c r="D5" i="39" s="1"/>
  <c r="C13" i="39"/>
  <c r="C5" i="39" s="1"/>
  <c r="N5" i="39"/>
  <c r="M5" i="39"/>
  <c r="L5" i="39"/>
  <c r="K5" i="39"/>
  <c r="J5" i="39"/>
  <c r="I5" i="39"/>
  <c r="H5" i="39"/>
  <c r="G5" i="39" l="1"/>
  <c r="F5" i="39"/>
  <c r="J5" i="40"/>
  <c r="F5" i="40"/>
  <c r="N5" i="40"/>
  <c r="H5" i="40"/>
  <c r="N33" i="38"/>
  <c r="M33" i="38"/>
  <c r="L33" i="38"/>
  <c r="K33" i="38"/>
  <c r="J33" i="38"/>
  <c r="I33" i="38"/>
  <c r="H33" i="38"/>
  <c r="G33" i="38"/>
  <c r="F33" i="38"/>
  <c r="E33" i="38"/>
  <c r="D33" i="38"/>
  <c r="C33" i="38"/>
  <c r="N13" i="38"/>
  <c r="M13" i="38"/>
  <c r="L13" i="38"/>
  <c r="K13" i="38"/>
  <c r="J13" i="38"/>
  <c r="J5" i="38" s="1"/>
  <c r="I13" i="38"/>
  <c r="I5" i="38" s="1"/>
  <c r="H13" i="38"/>
  <c r="H5" i="38" s="1"/>
  <c r="G13" i="38"/>
  <c r="G5" i="38" s="1"/>
  <c r="F13" i="38"/>
  <c r="E13" i="38"/>
  <c r="E5" i="38" s="1"/>
  <c r="D13" i="38"/>
  <c r="D5" i="38" s="1"/>
  <c r="C13" i="38"/>
  <c r="N5" i="38" l="1"/>
  <c r="K5" i="38"/>
  <c r="M5" i="38"/>
  <c r="L5" i="38"/>
  <c r="C5" i="38"/>
  <c r="F5" i="38"/>
  <c r="N34" i="37"/>
  <c r="M34" i="37"/>
  <c r="L34" i="37"/>
  <c r="K34" i="37"/>
  <c r="J34" i="37"/>
  <c r="I34" i="37"/>
  <c r="H34" i="37"/>
  <c r="G34" i="37"/>
  <c r="F34" i="37"/>
  <c r="E34" i="37"/>
  <c r="D34" i="37"/>
  <c r="C34" i="37"/>
  <c r="N13" i="37"/>
  <c r="M13" i="37"/>
  <c r="L13" i="37"/>
  <c r="K13" i="37"/>
  <c r="J13" i="37"/>
  <c r="I13" i="37"/>
  <c r="I5" i="37" s="1"/>
  <c r="H13" i="37"/>
  <c r="H5" i="37" s="1"/>
  <c r="G13" i="37"/>
  <c r="G5" i="37" s="1"/>
  <c r="F13" i="37"/>
  <c r="F5" i="37" s="1"/>
  <c r="E13" i="37"/>
  <c r="D13" i="37"/>
  <c r="D5" i="37" s="1"/>
  <c r="C13" i="37"/>
  <c r="J5" i="37"/>
  <c r="E5" i="37" l="1"/>
  <c r="K5" i="37"/>
  <c r="L5" i="37"/>
  <c r="M5" i="37"/>
  <c r="N5" i="37"/>
  <c r="C5" i="37"/>
  <c r="N35" i="36" l="1"/>
  <c r="M35" i="36"/>
  <c r="L35" i="36"/>
  <c r="K35" i="36"/>
  <c r="J35" i="36"/>
  <c r="I35" i="36"/>
  <c r="H35" i="36"/>
  <c r="G35" i="36"/>
  <c r="F35" i="36"/>
  <c r="E35" i="36"/>
  <c r="D35" i="36"/>
  <c r="C35" i="36"/>
  <c r="N13" i="36"/>
  <c r="M13" i="36"/>
  <c r="L13" i="36"/>
  <c r="L5" i="36" s="1"/>
  <c r="K13" i="36"/>
  <c r="J13" i="36"/>
  <c r="J5" i="36" s="1"/>
  <c r="I13" i="36"/>
  <c r="I5" i="36" s="1"/>
  <c r="H13" i="36"/>
  <c r="G13" i="36"/>
  <c r="G5" i="36" s="1"/>
  <c r="F13" i="36"/>
  <c r="F5" i="36" s="1"/>
  <c r="E13" i="36"/>
  <c r="D13" i="36"/>
  <c r="C13" i="36"/>
  <c r="E5" i="36" l="1"/>
  <c r="H5" i="36"/>
  <c r="K5" i="36"/>
  <c r="M5" i="36"/>
  <c r="N5" i="36"/>
  <c r="D5" i="36"/>
  <c r="C5" i="36"/>
  <c r="N34" i="33" l="1"/>
  <c r="M34" i="33"/>
  <c r="L34" i="33"/>
  <c r="K34" i="33"/>
  <c r="J34" i="33"/>
  <c r="I34" i="33"/>
  <c r="H34" i="33"/>
  <c r="G34" i="33"/>
  <c r="F34" i="33"/>
  <c r="E34" i="33"/>
  <c r="D34" i="33"/>
  <c r="C34" i="33"/>
  <c r="N13" i="33"/>
  <c r="M13" i="33"/>
  <c r="L13" i="33"/>
  <c r="K13" i="33"/>
  <c r="J13" i="33"/>
  <c r="J5" i="33" s="1"/>
  <c r="I13" i="33"/>
  <c r="I5" i="33" s="1"/>
  <c r="H13" i="33"/>
  <c r="H5" i="33" s="1"/>
  <c r="G13" i="33"/>
  <c r="F13" i="33"/>
  <c r="F5" i="33" s="1"/>
  <c r="E13" i="33"/>
  <c r="E5" i="33" s="1"/>
  <c r="D13" i="33"/>
  <c r="D5" i="33" s="1"/>
  <c r="C13" i="33"/>
  <c r="K5" i="33" l="1"/>
  <c r="C5" i="33"/>
  <c r="M5" i="33"/>
  <c r="L5" i="33"/>
  <c r="G5" i="33"/>
  <c r="N5" i="33"/>
</calcChain>
</file>

<file path=xl/sharedStrings.xml><?xml version="1.0" encoding="utf-8"?>
<sst xmlns="http://schemas.openxmlformats.org/spreadsheetml/2006/main" count="790" uniqueCount="100">
  <si>
    <t>Caixa mensal</t>
  </si>
  <si>
    <t>CAIXA DISPONÍVEL</t>
  </si>
  <si>
    <t>JAN</t>
  </si>
  <si>
    <t>FEV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</si>
  <si>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</si>
  <si>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</si>
  <si>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</si>
  <si>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</si>
  <si>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</si>
  <si>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</si>
  <si>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</si>
  <si>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</si>
  <si>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</si>
  <si>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MAR</t>
  </si>
  <si>
    <t>TIPO DE RENDA</t>
  </si>
  <si>
    <t>DESPESAS</t>
  </si>
  <si>
    <t>DESPESAS TOTAIS</t>
  </si>
  <si>
    <t>TOTAL NO ANO</t>
  </si>
  <si>
    <t>RENDA TOTAIS</t>
  </si>
  <si>
    <t>FIXA</t>
  </si>
  <si>
    <t>VARIÁVEL</t>
  </si>
  <si>
    <t>Escritório:  internet, água, luz - dias 25</t>
  </si>
  <si>
    <t>Telefone: tim - dias 25</t>
  </si>
  <si>
    <t>Telefone: vivo - dias 25</t>
  </si>
  <si>
    <t>PARCELADAS</t>
  </si>
  <si>
    <t>FIXAS</t>
  </si>
  <si>
    <t>Parc. Dívidas: banco brasil - dias 25</t>
  </si>
  <si>
    <t>OUTROS</t>
  </si>
  <si>
    <t>Entrada Geral</t>
  </si>
  <si>
    <t>Saída Geral</t>
  </si>
  <si>
    <t>Observações</t>
  </si>
  <si>
    <t>Telefone: claro - dias 25</t>
  </si>
  <si>
    <t>ENTRADA</t>
  </si>
  <si>
    <t>SAÍDA</t>
  </si>
  <si>
    <t xml:space="preserve">CAIXA </t>
  </si>
  <si>
    <t>Valor em caixa</t>
  </si>
  <si>
    <t xml:space="preserve">Confira nas planilhas abaixo os detalhes da entrada e saída de recursos de cada mês </t>
  </si>
  <si>
    <t xml:space="preserve">   Patrocínio: Miclean - dias 10</t>
  </si>
  <si>
    <t>pendente</t>
  </si>
  <si>
    <t>Prestação de Contas - 2015</t>
  </si>
  <si>
    <t>Telefone + 3G: oi - dias 10</t>
  </si>
  <si>
    <t>Contabilidade: honorário - até 5º dia útil</t>
  </si>
  <si>
    <t>Parc. Dívidas: Prefeitura - dias 25</t>
  </si>
  <si>
    <t>Parc. Dívidas: receita - dias 30 (05/17)</t>
  </si>
  <si>
    <t>Parc. Dívidas: receita - dias 30 (05/30)</t>
  </si>
  <si>
    <t>Parc. Dívidas: receita - dias 30 (06/17)</t>
  </si>
  <si>
    <t>Parc. Dívidas: receita - dias 30 (06/30)</t>
  </si>
  <si>
    <t>Microsoft Office - dias 25</t>
  </si>
  <si>
    <t>Parc. Dívidas: banco brasil - dias 6 (24x)</t>
  </si>
  <si>
    <t xml:space="preserve">Escritório:  internet, água, luz - dias 25 </t>
  </si>
  <si>
    <t>Atualização Site - Joel</t>
  </si>
  <si>
    <t>Ilustração Site - Rafael</t>
  </si>
  <si>
    <t xml:space="preserve">Gráfica (folders) </t>
  </si>
  <si>
    <t xml:space="preserve">Gráfica (cartões) </t>
  </si>
  <si>
    <t>Escritório:  Sala, Net, Água, Luz - dias 25</t>
  </si>
  <si>
    <t>Empresa: honorário - até 5º dia útil</t>
  </si>
  <si>
    <t>Patrocínio: Máximo Produtora - dias 23</t>
  </si>
  <si>
    <t>Contador: honorário - dias 5</t>
  </si>
  <si>
    <r>
      <t>Telefone: Vivo - dias 25</t>
    </r>
    <r>
      <rPr>
        <sz val="10"/>
        <color theme="5" tint="0.59999389629810485"/>
        <rFont val="Arial"/>
        <family val="2"/>
        <scheme val="minor"/>
      </rPr>
      <t xml:space="preserve"> </t>
    </r>
  </si>
  <si>
    <t>Telefone: Tim - dias 25</t>
  </si>
  <si>
    <t>Telefone e 3G: Oi - dias 5</t>
  </si>
  <si>
    <t>Parc. Dívidas: receita - dias 30 (13/30)</t>
  </si>
  <si>
    <t>Parc. Dívidas: receita - dias 30 (13/19)</t>
  </si>
  <si>
    <t>Contador: impostos atrasados (50% desc)</t>
  </si>
  <si>
    <t xml:space="preserve">   Patrocínio: Máximo Produtora - dias 23</t>
  </si>
  <si>
    <t>Atualização Site: Quantik</t>
  </si>
  <si>
    <t>Relações Públicas: Fator - dias 25</t>
  </si>
  <si>
    <t>Parc. Dívidas: receita - dias 30 (14/19)</t>
  </si>
  <si>
    <t>Parc. Dívidas: receita - dias 30 (14/30)</t>
  </si>
  <si>
    <t>Parc. Dívidas: receita - dias 30 (15/19)</t>
  </si>
  <si>
    <t>Parc. Dívidas: receita - dias 30 (15/30)</t>
  </si>
  <si>
    <t>Inscrição Novo Site (cartão)</t>
  </si>
  <si>
    <t>Domínio.net (cartão)</t>
  </si>
  <si>
    <t>Telefone 1: Tim - dias 25</t>
  </si>
  <si>
    <r>
      <t>Telefone 2: Tim - dias 25</t>
    </r>
    <r>
      <rPr>
        <sz val="10"/>
        <color theme="5" tint="0.59999389629810485"/>
        <rFont val="Arial"/>
        <family val="2"/>
        <scheme val="minor"/>
      </rPr>
      <t xml:space="preserve"> </t>
    </r>
  </si>
  <si>
    <t>finalizado</t>
  </si>
  <si>
    <r>
      <t>Link Patrocinado  Facebook</t>
    </r>
    <r>
      <rPr>
        <sz val="10"/>
        <color rgb="FFFF0000"/>
        <rFont val="Arial"/>
        <family val="2"/>
        <scheme val="minor"/>
      </rPr>
      <t xml:space="preserve"> </t>
    </r>
  </si>
  <si>
    <t>Parc. Dívidas: receita - dias 30 (12/19)</t>
  </si>
  <si>
    <t>Parc. Dívidas: receita - dias 30 (12/30)</t>
  </si>
  <si>
    <t>Parc. Dívidas: receita - dias 30 (11/19)</t>
  </si>
  <si>
    <t>Parc. Dívidas: receita - dias 30 (11/30)</t>
  </si>
  <si>
    <t>Parc. Dívidas: receita - dias 30 (10/19)</t>
  </si>
  <si>
    <t>Parc. Dívidas: receita - dias 30 (10/30)</t>
  </si>
  <si>
    <t>Parc. Dívidas: receita - dias 30 (9/19)</t>
  </si>
  <si>
    <t>Parc. Dívidas: receita - dias 30 (9/30)</t>
  </si>
  <si>
    <t>Parc. Dívidas: receita - dias 30 (8/19)</t>
  </si>
  <si>
    <t>Parc. Dívidas: receita - dias 30 (8/30)</t>
  </si>
  <si>
    <t>Parc. Dívidas: receita - dias 30 (7/19)</t>
  </si>
  <si>
    <t>Parc. Dívidas: receita - dias 30 (7/30)</t>
  </si>
  <si>
    <t>Parc. Dívidas: Banco Brasil - dias 25 (3/4)</t>
  </si>
  <si>
    <t>Parc. Dívidas: Banco Brasil - dias 25 (4/4)</t>
  </si>
  <si>
    <t>Mensalidade Site Novo</t>
  </si>
  <si>
    <t>Hospedagem Site Novo</t>
  </si>
  <si>
    <t>Parc. Dívidas: Banco Brasil - dias 25 (2/4)</t>
  </si>
  <si>
    <t>Anuidade Marca e patente - Solar</t>
  </si>
  <si>
    <t>Parc. Dívidas: Banco Brasil - dias 25 (1/4)</t>
  </si>
  <si>
    <t>Leandro Pato (direção/produção) - dias 25</t>
  </si>
  <si>
    <t>Parc. Dívidas: receita - dias 30 (16/19)</t>
  </si>
  <si>
    <t>Parc. Dívidas: receita - dias 30 (16/30)</t>
  </si>
  <si>
    <t>Honorário restante, crc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</si>
</sst>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$&quot;* #,##0.00_);_(&quot;R$&quot;* \(#,##0.00\);_(&quot;R$&quot;* &quot;-&quot;??_);_(@_)"/>
    <numFmt numFmtId="165" formatCode="&quot;$&quot;#,##0.00_);\(&quot;$&quot;#,##0.00\)"/>
    <numFmt numFmtId="166" formatCode="&quot;R$&quot;\ #,##0.00"/>
  </numFmts>
  <fonts count="25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outline/>
      <shadow/>
      <sz val="10"/>
      <color theme="0" tint="-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sz val="10"/>
      <color theme="0" tint="-0.34998626667073579"/>
      <name val="Arial"/>
      <family val="2"/>
      <scheme val="minor"/>
    </font>
    <font>
      <b/>
      <outline/>
      <shadow/>
      <sz val="10"/>
      <color theme="0" tint="-0.34998626667073579"/>
      <name val="Arial"/>
      <family val="2"/>
      <scheme val="minor"/>
    </font>
    <font>
      <sz val="10"/>
      <color theme="5" tint="0.59999389629810485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sz val="10"/>
      <color theme="0" tint="-0.34998626667073579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5F9A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164" fontId="2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2">
    <xf numFmtId="0" fontId="0" fillId="0" borderId="0" xfId="0">
      <alignment vertical="center"/>
    </xf>
    <xf numFmtId="0" fontId="4" fillId="0" borderId="0" xfId="2" applyFill="1"/>
    <xf numFmtId="0" fontId="0" fillId="0" borderId="0" xfId="0" applyFill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8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left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1" applyAlignment="1">
      <alignment vertical="center"/>
    </xf>
    <xf numFmtId="0" fontId="10" fillId="0" borderId="0" xfId="1" applyFill="1" applyBorder="1" applyAlignment="1">
      <alignment horizontal="right" vertical="center"/>
    </xf>
    <xf numFmtId="0" fontId="10" fillId="0" borderId="0" xfId="1" applyFill="1" applyBorder="1" applyAlignment="1">
      <alignment vertical="center"/>
    </xf>
    <xf numFmtId="165" fontId="0" fillId="0" borderId="0" xfId="0" applyNumberFormat="1" applyFont="1" applyFill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0" borderId="0" xfId="0" applyNumberFormat="1" applyFont="1">
      <alignment vertical="center"/>
    </xf>
    <xf numFmtId="166" fontId="13" fillId="0" borderId="0" xfId="0" applyNumberFormat="1" applyFont="1" applyFill="1">
      <alignment vertical="center"/>
    </xf>
    <xf numFmtId="0" fontId="0" fillId="0" borderId="0" xfId="0" applyAlignment="1">
      <alignment horizont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0" borderId="0" xfId="0" applyAlignment="1">
      <alignment vertical="center"/>
    </xf>
    <xf numFmtId="0" fontId="16" fillId="0" borderId="0" xfId="8" applyFill="1">
      <alignment vertical="center"/>
    </xf>
    <xf numFmtId="0" fontId="17" fillId="3" borderId="0" xfId="0" applyFont="1" applyFill="1">
      <alignment vertical="center"/>
    </xf>
    <xf numFmtId="0" fontId="18" fillId="3" borderId="0" xfId="0" applyFont="1" applyFill="1">
      <alignment vertical="center"/>
    </xf>
    <xf numFmtId="166" fontId="0" fillId="3" borderId="0" xfId="0" applyNumberFormat="1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Border="1" applyAlignment="1">
      <alignment horizontal="left" vertical="center" indent="1"/>
    </xf>
    <xf numFmtId="166" fontId="20" fillId="0" borderId="0" xfId="0" applyNumberFormat="1" applyFont="1">
      <alignment vertical="center"/>
    </xf>
    <xf numFmtId="166" fontId="21" fillId="0" borderId="0" xfId="0" applyNumberFormat="1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3" fillId="4" borderId="2" xfId="0" applyFont="1" applyFill="1" applyBorder="1" applyAlignment="1">
      <alignment horizontal="center"/>
    </xf>
    <xf numFmtId="0" fontId="23" fillId="5" borderId="2" xfId="10" applyFont="1" applyFill="1" applyBorder="1" applyAlignment="1">
      <alignment horizontal="center"/>
    </xf>
    <xf numFmtId="0" fontId="4" fillId="3" borderId="0" xfId="2" applyFill="1"/>
    <xf numFmtId="166" fontId="0" fillId="5" borderId="0" xfId="0" applyNumberFormat="1" applyFont="1" applyFill="1" applyBorder="1" applyAlignment="1">
      <alignment vertical="center"/>
    </xf>
    <xf numFmtId="164" fontId="0" fillId="0" borderId="0" xfId="11" applyFont="1" applyFill="1" applyAlignment="1">
      <alignment vertical="center"/>
    </xf>
    <xf numFmtId="0" fontId="1" fillId="0" borderId="0" xfId="12" applyFill="1"/>
    <xf numFmtId="0" fontId="1" fillId="0" borderId="0" xfId="12" applyFill="1" applyAlignment="1">
      <alignment horizontal="left" vertical="center" indent="1"/>
    </xf>
    <xf numFmtId="166" fontId="0" fillId="0" borderId="0" xfId="12" applyNumberFormat="1" applyFont="1" applyFill="1" applyBorder="1" applyAlignment="1">
      <alignment vertical="center"/>
    </xf>
    <xf numFmtId="0" fontId="1" fillId="0" borderId="0" xfId="12" applyFill="1" applyAlignment="1">
      <alignment vertical="center"/>
    </xf>
    <xf numFmtId="0" fontId="8" fillId="0" borderId="0" xfId="12" applyFont="1" applyFill="1" applyAlignment="1">
      <alignment vertical="center"/>
    </xf>
    <xf numFmtId="0" fontId="23" fillId="3" borderId="2" xfId="0" applyFont="1" applyFill="1" applyBorder="1" applyAlignment="1">
      <alignment horizontal="center"/>
    </xf>
    <xf numFmtId="166" fontId="0" fillId="6" borderId="0" xfId="0" applyNumberFormat="1" applyFont="1" applyFill="1" applyBorder="1" applyAlignment="1">
      <alignment vertical="center"/>
    </xf>
    <xf numFmtId="0" fontId="23" fillId="6" borderId="2" xfId="0" applyFont="1" applyFill="1" applyBorder="1" applyAlignment="1">
      <alignment horizontal="center"/>
    </xf>
  </cellXfs>
  <cellStyles count="13">
    <cellStyle name="20% - Ênfase1" xfId="2" builtinId="30"/>
    <cellStyle name="20% - Ênfase1 2" xfId="9"/>
    <cellStyle name="20% - Ênfase1 3" xfId="10"/>
    <cellStyle name="20% - Ênfase1 4" xfId="12"/>
    <cellStyle name="Hiperlink" xfId="8" builtinId="8"/>
    <cellStyle name="Moeda" xfId="11" builtinId="4"/>
    <cellStyle name="Normal" xfId="0" builtinId="0" customBuiltin="1"/>
    <cellStyle name="Título" xfId="3" builtinId="15" customBuiltin="1"/>
    <cellStyle name="Título 1" xfId="1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7" builtinId="25" customBuiltin="1"/>
  </cellStyles>
  <dxfs count="1024"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6" formatCode="&quot;R$&quot;\ #,##0.00"/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R$&quot;\ #,##0.00"/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numFmt numFmtId="166" formatCode="&quot;R$&quot;\ #,##0.0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23"/>
      <tableStyleElement type="headerRow" dxfId="1022"/>
      <tableStyleElement type="totalRow" dxfId="1021"/>
      <tableStyleElement type="firstColumn" dxfId="1020"/>
      <tableStyleElement type="firstHeaderCell" dxfId="1019"/>
      <tableStyleElement type="firstTotalCell" dxfId="1018"/>
    </tableStyle>
    <tableStyle name="Family Budget Cash Available 2" pivot="0" count="6">
      <tableStyleElement type="wholeTable" dxfId="1017"/>
      <tableStyleElement type="headerRow" dxfId="1016"/>
      <tableStyleElement type="totalRow" dxfId="1015"/>
      <tableStyleElement type="firstColumn" dxfId="1014"/>
      <tableStyleElement type="firstHeaderCell" dxfId="1013"/>
      <tableStyleElement type="firstTotalCell" dxfId="1012"/>
    </tableStyle>
    <tableStyle name="Family Budget Cash Available 3" pivot="0" count="6">
      <tableStyleElement type="wholeTable" dxfId="1011"/>
      <tableStyleElement type="headerRow" dxfId="1010"/>
      <tableStyleElement type="totalRow" dxfId="1009"/>
      <tableStyleElement type="firstColumn" dxfId="1008"/>
      <tableStyleElement type="firstHeaderCell" dxfId="1007"/>
      <tableStyleElement type="firstTotalCell" dxfId="1006"/>
    </tableStyle>
  </tableStyles>
  <colors>
    <mruColors>
      <color rgb="FFA5F9A5"/>
      <color rgb="FF66FF66"/>
      <color rgb="FFFFFF99"/>
      <color rgb="FF99FF66"/>
      <color rgb="FFA0F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0</xdr:row>
      <xdr:rowOff>95251</xdr:rowOff>
    </xdr:from>
    <xdr:ext cx="2591390" cy="292167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95251"/>
          <a:ext cx="2591390" cy="2921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1</xdr:col>
      <xdr:colOff>2477064</xdr:colOff>
      <xdr:row>0</xdr:row>
      <xdr:rowOff>395878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6414"/>
          <a:ext cx="2477064" cy="2794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1" name="tblRenda5817202326293235384144" displayName="tblRenda5817202326293235384144" ref="B7:O9" totalsRowCount="1">
  <tableColumns count="14">
    <tableColumn id="1" name="TIPO DE RENDA" totalsRowLabel="RENDA TOTAIS" totalsRowDxfId="27"/>
    <tableColumn id="2" name="JAN" totalsRowFunction="sum" dataDxfId="1005" totalsRowDxfId="26"/>
    <tableColumn id="3" name="FEV" totalsRowFunction="sum" dataDxfId="1004" totalsRowDxfId="25"/>
    <tableColumn id="4" name="MAR" totalsRowFunction="sum" dataDxfId="1003" totalsRowDxfId="24"/>
    <tableColumn id="5" name="ABR" totalsRowFunction="sum" dataDxfId="1002" totalsRowDxfId="23"/>
    <tableColumn id="6" name="MAI" totalsRowFunction="sum" dataDxfId="1001" totalsRowDxfId="22"/>
    <tableColumn id="7" name="JUN" totalsRowFunction="sum" dataDxfId="1000" totalsRowDxfId="21"/>
    <tableColumn id="8" name="JUL" totalsRowFunction="sum" dataDxfId="999" totalsRowDxfId="20"/>
    <tableColumn id="9" name="AGO" totalsRowFunction="sum" dataDxfId="998" totalsRowDxfId="19"/>
    <tableColumn id="10" name="SET" totalsRowFunction="sum" dataDxfId="997" totalsRowDxfId="18"/>
    <tableColumn id="11" name="OUT" totalsRowFunction="sum" dataDxfId="996" totalsRowDxfId="17"/>
    <tableColumn id="12" name="NOV" totalsRowFunction="sum" dataDxfId="995" totalsRowDxfId="16"/>
    <tableColumn id="13" name="DEZ" totalsRowFunction="sum" dataDxfId="994" totalsRowDxfId="15"/>
    <tableColumn id="14" name="TOTAL NO ANO" totalsRowFunction="sum" dataDxfId="993" totalsRowDxfId="14">
      <calculatedColumnFormula>SUM(tblRenda5817202326293235384144[[#This Row],[JAN]:[DEZ]])</calculatedColumnFormula>
    </tableColumn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10.xml><?xml version="1.0" encoding="utf-8"?>
<table xmlns="http://schemas.openxmlformats.org/spreadsheetml/2006/main" id="4" name="tblRenda5811142017232629323525" displayName="tblRenda5811142017232629323525" ref="B7:N13" totalsRowCount="1">
  <tableColumns count="13">
    <tableColumn id="1" name="ENTRADA" totalsRowLabel="RENDA TOTAIS" totalsRowDxfId="797"/>
    <tableColumn id="2" name="JAN" totalsRowFunction="sum" dataDxfId="796" totalsRowDxfId="795"/>
    <tableColumn id="3" name="FEV" totalsRowFunction="sum" dataDxfId="794" totalsRowDxfId="793"/>
    <tableColumn id="4" name="MAR" totalsRowFunction="sum" dataDxfId="792" totalsRowDxfId="791"/>
    <tableColumn id="5" name="ABR" totalsRowFunction="sum" dataDxfId="790" totalsRowDxfId="789"/>
    <tableColumn id="6" name="MAI" totalsRowFunction="sum" dataDxfId="788" totalsRowDxfId="787"/>
    <tableColumn id="7" name="JUN" totalsRowFunction="sum" dataDxfId="786" totalsRowDxfId="785"/>
    <tableColumn id="8" name="JUL" totalsRowFunction="sum" dataDxfId="784" totalsRowDxfId="783"/>
    <tableColumn id="9" name="AGO" totalsRowFunction="sum" dataDxfId="782" totalsRowDxfId="781"/>
    <tableColumn id="10" name="SET" totalsRowFunction="sum" dataDxfId="780" totalsRowDxfId="779"/>
    <tableColumn id="11" name="OUT" totalsRowFunction="sum" dataDxfId="778" totalsRowDxfId="777"/>
    <tableColumn id="12" name="NOV" totalsRowFunction="sum" dataDxfId="776" totalsRowDxfId="775"/>
    <tableColumn id="13" name="DEZ" totalsRowFunction="sum" dataDxfId="774" totalsRowDxfId="773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11.xml><?xml version="1.0" encoding="utf-8"?>
<table xmlns="http://schemas.openxmlformats.org/spreadsheetml/2006/main" id="5" name="tblDespesas6912152118242730333636" displayName="tblDespesas6912152118242730333636" ref="B15:N34" totalsRowCount="1">
  <tableColumns count="13">
    <tableColumn id="1" name="SAÍDA" totalsRowLabel="DESPESAS TOTAIS" dataDxfId="772" totalsRowDxfId="771"/>
    <tableColumn id="2" name="JAN" totalsRowFunction="sum" dataDxfId="770" totalsRowDxfId="769"/>
    <tableColumn id="3" name="FEV" totalsRowFunction="sum" dataDxfId="768" totalsRowDxfId="767"/>
    <tableColumn id="4" name="MAR" totalsRowFunction="sum" dataDxfId="766" totalsRowDxfId="765"/>
    <tableColumn id="5" name="ABR" totalsRowFunction="sum" dataDxfId="764" totalsRowDxfId="763"/>
    <tableColumn id="6" name="MAI" totalsRowFunction="sum" dataDxfId="762" totalsRowDxfId="761"/>
    <tableColumn id="7" name="JUN" totalsRowFunction="sum" dataDxfId="760" totalsRowDxfId="759"/>
    <tableColumn id="8" name="JUL" totalsRowFunction="sum" dataDxfId="758" totalsRowDxfId="757"/>
    <tableColumn id="9" name="AGO" totalsRowFunction="sum" dataDxfId="756" totalsRowDxfId="755"/>
    <tableColumn id="10" name="SET" totalsRowFunction="sum" dataDxfId="754" totalsRowDxfId="753"/>
    <tableColumn id="11" name="OUT" totalsRowFunction="sum" dataDxfId="752" totalsRowDxfId="751"/>
    <tableColumn id="12" name="NOV" totalsRowFunction="sum" dataDxfId="750" totalsRowDxfId="749"/>
    <tableColumn id="13" name="DEZ" totalsRowFunction="sum" dataDxfId="748" totalsRowDxfId="747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12.xml><?xml version="1.0" encoding="utf-8"?>
<table xmlns="http://schemas.openxmlformats.org/spreadsheetml/2006/main" id="6" name="tblCaixaDisponível71013162219252831343747" displayName="tblCaixaDisponível71013162219252831343747" ref="B4:N5">
  <tableColumns count="13">
    <tableColumn id="1" name="CAIXA " totalsRowLabel="Total" dataDxfId="746" totalsRowDxfId="745"/>
    <tableColumn id="2" name="JAN" dataDxfId="744" totalsRowDxfId="743">
      <calculatedColumnFormula>tblRenda5811142017232629323525[[#Totals],[JAN]]-tblDespesas6912152118242730333636[[#Totals],[JAN]]</calculatedColumnFormula>
    </tableColumn>
    <tableColumn id="3" name="FEV" dataDxfId="742" totalsRowDxfId="741">
      <calculatedColumnFormula>tblRenda5811142017232629323525[[#Totals],[FEV]]-tblDespesas6912152118242730333636[[#Totals],[FEV]]</calculatedColumnFormula>
    </tableColumn>
    <tableColumn id="4" name="MAR" dataDxfId="740" totalsRowDxfId="739">
      <calculatedColumnFormula>tblRenda5811142017232629323525[[#Totals],[MAR]]-tblDespesas6912152118242730333636[[#Totals],[MAR]]</calculatedColumnFormula>
    </tableColumn>
    <tableColumn id="5" name="ABR" dataDxfId="738" totalsRowDxfId="737">
      <calculatedColumnFormula>tblRenda5811142017232629323525[[#Totals],[ABR]]-tblDespesas6912152118242730333636[[#Totals],[ABR]]</calculatedColumnFormula>
    </tableColumn>
    <tableColumn id="6" name="MAI" dataDxfId="736" totalsRowDxfId="735">
      <calculatedColumnFormula>tblRenda5811142017232629323525[[#Totals],[MAI]]-tblDespesas6912152118242730333636[[#Totals],[MAI]]</calculatedColumnFormula>
    </tableColumn>
    <tableColumn id="7" name="JUN" dataDxfId="734" totalsRowDxfId="733">
      <calculatedColumnFormula>tblRenda5811142017232629323525[[#Totals],[JUN]]-tblDespesas6912152118242730333636[[#Totals],[JUN]]</calculatedColumnFormula>
    </tableColumn>
    <tableColumn id="8" name="JUL" dataDxfId="732" totalsRowDxfId="731">
      <calculatedColumnFormula>tblRenda5811142017232629323525[[#Totals],[JUL]]-tblDespesas6912152118242730333636[[#Totals],[JUL]]</calculatedColumnFormula>
    </tableColumn>
    <tableColumn id="9" name="AGO" dataDxfId="730" totalsRowDxfId="729">
      <calculatedColumnFormula>tblRenda5811142017232629323525[[#Totals],[AGO]]-tblDespesas6912152118242730333636[[#Totals],[AGO]]</calculatedColumnFormula>
    </tableColumn>
    <tableColumn id="10" name="SET" dataDxfId="728" totalsRowDxfId="727">
      <calculatedColumnFormula>tblRenda5811142017232629323525[[#Totals],[SET]]-tblDespesas6912152118242730333636[[#Totals],[SET]]</calculatedColumnFormula>
    </tableColumn>
    <tableColumn id="11" name="OUT" dataDxfId="726" totalsRowDxfId="725">
      <calculatedColumnFormula>tblRenda5811142017232629323525[[#Totals],[OUT]]-tblDespesas6912152118242730333636[[#Totals],[OUT]]</calculatedColumnFormula>
    </tableColumn>
    <tableColumn id="12" name="NOV" dataDxfId="724" totalsRowDxfId="723">
      <calculatedColumnFormula>tblRenda5811142017232629323525[[#Totals],[NOV]]-tblDespesas6912152118242730333636[[#Totals],[NOV]]</calculatedColumnFormula>
    </tableColumn>
    <tableColumn id="13" name="DEZ" dataDxfId="722" totalsRowDxfId="721">
      <calculatedColumnFormula>tblRenda5811142017232629323525[[#Totals],[DEZ]]-tblDespesas6912152118242730333636[[#Totals],[DEZ]]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13.xml><?xml version="1.0" encoding="utf-8"?>
<table xmlns="http://schemas.openxmlformats.org/spreadsheetml/2006/main" id="7" name="tblRenda58111420172326293235258" displayName="tblRenda58111420172326293235258" ref="B7:N13" totalsRowCount="1">
  <tableColumns count="13">
    <tableColumn id="1" name="ENTRADA" totalsRowLabel="RENDA TOTAIS" totalsRowDxfId="720"/>
    <tableColumn id="2" name="JAN" totalsRowFunction="sum" dataDxfId="719" totalsRowDxfId="718"/>
    <tableColumn id="3" name="FEV" totalsRowFunction="sum" dataDxfId="717" totalsRowDxfId="716"/>
    <tableColumn id="4" name="MAR" totalsRowFunction="sum" dataDxfId="715" totalsRowDxfId="714"/>
    <tableColumn id="5" name="ABR" totalsRowFunction="sum" dataDxfId="713" totalsRowDxfId="712"/>
    <tableColumn id="6" name="MAI" totalsRowFunction="sum" dataDxfId="711" totalsRowDxfId="710"/>
    <tableColumn id="7" name="JUN" totalsRowFunction="sum" dataDxfId="709" totalsRowDxfId="708"/>
    <tableColumn id="8" name="JUL" totalsRowFunction="sum" dataDxfId="707" totalsRowDxfId="706"/>
    <tableColumn id="9" name="AGO" totalsRowFunction="sum" dataDxfId="705" totalsRowDxfId="704"/>
    <tableColumn id="10" name="SET" totalsRowFunction="sum" dataDxfId="703" totalsRowDxfId="702"/>
    <tableColumn id="11" name="OUT" totalsRowFunction="sum" dataDxfId="701" totalsRowDxfId="700"/>
    <tableColumn id="12" name="NOV" totalsRowFunction="sum" dataDxfId="699" totalsRowDxfId="698"/>
    <tableColumn id="13" name="DEZ" totalsRowFunction="sum" dataDxfId="697" totalsRowDxfId="696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14.xml><?xml version="1.0" encoding="utf-8"?>
<table xmlns="http://schemas.openxmlformats.org/spreadsheetml/2006/main" id="8" name="tblDespesas69121521182427303336369" displayName="tblDespesas69121521182427303336369" ref="B15:N33" totalsRowCount="1">
  <tableColumns count="13">
    <tableColumn id="1" name="SAÍDA" totalsRowLabel="DESPESAS TOTAIS" dataDxfId="695" totalsRowDxfId="694"/>
    <tableColumn id="2" name="JAN" totalsRowFunction="sum" dataDxfId="693" totalsRowDxfId="692"/>
    <tableColumn id="3" name="FEV" totalsRowFunction="sum" dataDxfId="691" totalsRowDxfId="690"/>
    <tableColumn id="4" name="MAR" totalsRowFunction="sum" dataDxfId="689" totalsRowDxfId="688"/>
    <tableColumn id="5" name="ABR" totalsRowFunction="sum" dataDxfId="687" totalsRowDxfId="686"/>
    <tableColumn id="6" name="MAI" totalsRowFunction="sum" dataDxfId="685" totalsRowDxfId="684"/>
    <tableColumn id="7" name="JUN" totalsRowFunction="sum" dataDxfId="683" totalsRowDxfId="682"/>
    <tableColumn id="8" name="JUL" totalsRowFunction="sum" dataDxfId="681" totalsRowDxfId="680"/>
    <tableColumn id="9" name="AGO" totalsRowFunction="sum" dataDxfId="679" totalsRowDxfId="678"/>
    <tableColumn id="10" name="SET" totalsRowFunction="sum" dataDxfId="677" totalsRowDxfId="676"/>
    <tableColumn id="11" name="OUT" totalsRowFunction="sum" dataDxfId="675" totalsRowDxfId="674"/>
    <tableColumn id="12" name="NOV" totalsRowFunction="sum" dataDxfId="673" totalsRowDxfId="672"/>
    <tableColumn id="13" name="DEZ" totalsRowFunction="sum" dataDxfId="671" totalsRowDxfId="670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15.xml><?xml version="1.0" encoding="utf-8"?>
<table xmlns="http://schemas.openxmlformats.org/spreadsheetml/2006/main" id="9" name="tblCaixaDisponível7101316221925283134374710" displayName="tblCaixaDisponível7101316221925283134374710" ref="B4:N5">
  <tableColumns count="13">
    <tableColumn id="1" name="CAIXA " totalsRowLabel="Total" dataDxfId="669" totalsRowDxfId="668"/>
    <tableColumn id="2" name="JAN" dataDxfId="667" totalsRowDxfId="666">
      <calculatedColumnFormula>tblRenda58111420172326293235258[[#Totals],[JAN]]-tblDespesas69121521182427303336369[[#Totals],[JAN]]</calculatedColumnFormula>
    </tableColumn>
    <tableColumn id="3" name="FEV" dataDxfId="665" totalsRowDxfId="664">
      <calculatedColumnFormula>tblRenda58111420172326293235258[[#Totals],[FEV]]-tblDespesas69121521182427303336369[[#Totals],[FEV]]</calculatedColumnFormula>
    </tableColumn>
    <tableColumn id="4" name="MAR" dataDxfId="663" totalsRowDxfId="662">
      <calculatedColumnFormula>tblRenda58111420172326293235258[[#Totals],[MAR]]-tblDespesas69121521182427303336369[[#Totals],[MAR]]</calculatedColumnFormula>
    </tableColumn>
    <tableColumn id="5" name="ABR" dataDxfId="661" totalsRowDxfId="660">
      <calculatedColumnFormula>tblRenda58111420172326293235258[[#Totals],[ABR]]-tblDespesas69121521182427303336369[[#Totals],[ABR]]</calculatedColumnFormula>
    </tableColumn>
    <tableColumn id="6" name="MAI" dataDxfId="659" totalsRowDxfId="658">
      <calculatedColumnFormula>tblRenda58111420172326293235258[[#Totals],[MAI]]-tblDespesas69121521182427303336369[[#Totals],[MAI]]</calculatedColumnFormula>
    </tableColumn>
    <tableColumn id="7" name="JUN" dataDxfId="657" totalsRowDxfId="656">
      <calculatedColumnFormula>tblRenda58111420172326293235258[[#Totals],[JUN]]-tblDespesas69121521182427303336369[[#Totals],[JUN]]</calculatedColumnFormula>
    </tableColumn>
    <tableColumn id="8" name="JUL" dataDxfId="655" totalsRowDxfId="654">
      <calculatedColumnFormula>tblRenda58111420172326293235258[[#Totals],[JUL]]-tblDespesas69121521182427303336369[[#Totals],[JUL]]</calculatedColumnFormula>
    </tableColumn>
    <tableColumn id="9" name="AGO" dataDxfId="653" totalsRowDxfId="652">
      <calculatedColumnFormula>tblRenda58111420172326293235258[[#Totals],[AGO]]-tblDespesas69121521182427303336369[[#Totals],[AGO]]</calculatedColumnFormula>
    </tableColumn>
    <tableColumn id="10" name="SET" dataDxfId="651" totalsRowDxfId="650">
      <calculatedColumnFormula>tblRenda58111420172326293235258[[#Totals],[SET]]-tblDespesas69121521182427303336369[[#Totals],[SET]]</calculatedColumnFormula>
    </tableColumn>
    <tableColumn id="11" name="OUT" dataDxfId="649" totalsRowDxfId="648">
      <calculatedColumnFormula>tblRenda58111420172326293235258[[#Totals],[OUT]]-tblDespesas69121521182427303336369[[#Totals],[OUT]]</calculatedColumnFormula>
    </tableColumn>
    <tableColumn id="12" name="NOV" dataDxfId="647" totalsRowDxfId="646">
      <calculatedColumnFormula>tblRenda58111420172326293235258[[#Totals],[NOV]]-tblDespesas69121521182427303336369[[#Totals],[NOV]]</calculatedColumnFormula>
    </tableColumn>
    <tableColumn id="13" name="DEZ" dataDxfId="645" totalsRowDxfId="644">
      <calculatedColumnFormula>tblRenda58111420172326293235258[[#Totals],[DEZ]]-tblDespesas69121521182427303336369[[#Totals],[DEZ]]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16.xml><?xml version="1.0" encoding="utf-8"?>
<table xmlns="http://schemas.openxmlformats.org/spreadsheetml/2006/main" id="10" name="tblRenda5811142017232629323525811" displayName="tblRenda5811142017232629323525811" ref="B7:N13" totalsRowCount="1">
  <tableColumns count="13">
    <tableColumn id="1" name="ENTRADA" totalsRowLabel="RENDA TOTAIS" totalsRowDxfId="643"/>
    <tableColumn id="2" name="JAN" totalsRowFunction="sum" dataDxfId="642" totalsRowDxfId="641"/>
    <tableColumn id="3" name="FEV" totalsRowFunction="sum" dataDxfId="640" totalsRowDxfId="639"/>
    <tableColumn id="4" name="MAR" totalsRowFunction="sum" dataDxfId="638" totalsRowDxfId="637"/>
    <tableColumn id="5" name="ABR" totalsRowFunction="sum" dataDxfId="636" totalsRowDxfId="635"/>
    <tableColumn id="6" name="MAI" totalsRowFunction="sum" dataDxfId="634" totalsRowDxfId="633"/>
    <tableColumn id="7" name="JUN" totalsRowFunction="sum" dataDxfId="632" totalsRowDxfId="631"/>
    <tableColumn id="8" name="JUL" totalsRowFunction="sum" dataDxfId="630" totalsRowDxfId="629"/>
    <tableColumn id="9" name="AGO" totalsRowFunction="sum" dataDxfId="628" totalsRowDxfId="627"/>
    <tableColumn id="10" name="SET" totalsRowFunction="sum" dataDxfId="626" totalsRowDxfId="625"/>
    <tableColumn id="11" name="OUT" totalsRowFunction="sum" dataDxfId="624" totalsRowDxfId="623"/>
    <tableColumn id="12" name="NOV" totalsRowFunction="sum" dataDxfId="622" totalsRowDxfId="621"/>
    <tableColumn id="13" name="DEZ" totalsRowFunction="sum" dataDxfId="620" totalsRowDxfId="619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17.xml><?xml version="1.0" encoding="utf-8"?>
<table xmlns="http://schemas.openxmlformats.org/spreadsheetml/2006/main" id="11" name="tblDespesas6912152118242730333636912" displayName="tblDespesas6912152118242730333636912" ref="B15:N31" totalsRowCount="1">
  <tableColumns count="13">
    <tableColumn id="1" name="SAÍDA" totalsRowLabel="DESPESAS TOTAIS" dataDxfId="618" totalsRowDxfId="617"/>
    <tableColumn id="2" name="JAN" totalsRowFunction="sum" dataDxfId="616" totalsRowDxfId="615"/>
    <tableColumn id="3" name="FEV" totalsRowFunction="sum" dataDxfId="614" totalsRowDxfId="613"/>
    <tableColumn id="4" name="MAR" totalsRowFunction="sum" dataDxfId="612" totalsRowDxfId="611"/>
    <tableColumn id="5" name="ABR" totalsRowFunction="sum" dataDxfId="610" totalsRowDxfId="609"/>
    <tableColumn id="6" name="MAI" totalsRowFunction="sum" dataDxfId="608" totalsRowDxfId="607"/>
    <tableColumn id="7" name="JUN" totalsRowFunction="sum" dataDxfId="606" totalsRowDxfId="605"/>
    <tableColumn id="8" name="JUL" totalsRowFunction="sum" dataDxfId="604" totalsRowDxfId="603"/>
    <tableColumn id="9" name="AGO" totalsRowFunction="sum" dataDxfId="602" totalsRowDxfId="601"/>
    <tableColumn id="10" name="SET" totalsRowFunction="sum" dataDxfId="600" totalsRowDxfId="599"/>
    <tableColumn id="11" name="OUT" totalsRowFunction="sum" dataDxfId="598" totalsRowDxfId="597"/>
    <tableColumn id="12" name="NOV" totalsRowFunction="sum" dataDxfId="596" totalsRowDxfId="595"/>
    <tableColumn id="13" name="DEZ" totalsRowFunction="sum" dataDxfId="594" totalsRowDxfId="593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18.xml><?xml version="1.0" encoding="utf-8"?>
<table xmlns="http://schemas.openxmlformats.org/spreadsheetml/2006/main" id="12" name="tblCaixaDisponível710131622192528313437471013" displayName="tblCaixaDisponível710131622192528313437471013" ref="B4:N5">
  <tableColumns count="13">
    <tableColumn id="1" name="CAIXA " totalsRowLabel="Total" dataDxfId="592" totalsRowDxfId="591"/>
    <tableColumn id="2" name="JAN" dataDxfId="590" totalsRowDxfId="589">
      <calculatedColumnFormula>tblRenda5811142017232629323525811[[#Totals],[JAN]]-tblDespesas6912152118242730333636912[[#Totals],[JAN]]</calculatedColumnFormula>
    </tableColumn>
    <tableColumn id="3" name="FEV" dataDxfId="588" totalsRowDxfId="587">
      <calculatedColumnFormula>tblRenda5811142017232629323525811[[#Totals],[FEV]]-tblDespesas6912152118242730333636912[[#Totals],[FEV]]</calculatedColumnFormula>
    </tableColumn>
    <tableColumn id="4" name="MAR" dataDxfId="586" totalsRowDxfId="585">
      <calculatedColumnFormula>tblRenda5811142017232629323525811[[#Totals],[MAR]]-tblDespesas6912152118242730333636912[[#Totals],[MAR]]</calculatedColumnFormula>
    </tableColumn>
    <tableColumn id="5" name="ABR" dataDxfId="584" totalsRowDxfId="583">
      <calculatedColumnFormula>tblRenda5811142017232629323525811[[#Totals],[ABR]]-tblDespesas6912152118242730333636912[[#Totals],[ABR]]</calculatedColumnFormula>
    </tableColumn>
    <tableColumn id="6" name="MAI" dataDxfId="582" totalsRowDxfId="581">
      <calculatedColumnFormula>tblRenda5811142017232629323525811[[#Totals],[MAI]]-tblDespesas6912152118242730333636912[[#Totals],[MAI]]</calculatedColumnFormula>
    </tableColumn>
    <tableColumn id="7" name="JUN" dataDxfId="580" totalsRowDxfId="579">
      <calculatedColumnFormula>tblRenda5811142017232629323525811[[#Totals],[JUN]]-tblDespesas6912152118242730333636912[[#Totals],[JUN]]</calculatedColumnFormula>
    </tableColumn>
    <tableColumn id="8" name="JUL" dataDxfId="578" totalsRowDxfId="577">
      <calculatedColumnFormula>tblRenda5811142017232629323525811[[#Totals],[JUL]]-tblDespesas6912152118242730333636912[[#Totals],[JUL]]</calculatedColumnFormula>
    </tableColumn>
    <tableColumn id="9" name="AGO" dataDxfId="576" totalsRowDxfId="575">
      <calculatedColumnFormula>tblRenda5811142017232629323525811[[#Totals],[AGO]]-tblDespesas6912152118242730333636912[[#Totals],[AGO]]</calculatedColumnFormula>
    </tableColumn>
    <tableColumn id="10" name="SET" dataDxfId="574" totalsRowDxfId="573">
      <calculatedColumnFormula>tblRenda5811142017232629323525811[[#Totals],[SET]]-tblDespesas6912152118242730333636912[[#Totals],[SET]]</calculatedColumnFormula>
    </tableColumn>
    <tableColumn id="11" name="OUT" dataDxfId="572" totalsRowDxfId="571">
      <calculatedColumnFormula>tblRenda5811142017232629323525811[[#Totals],[OUT]]-tblDespesas6912152118242730333636912[[#Totals],[OUT]]</calculatedColumnFormula>
    </tableColumn>
    <tableColumn id="12" name="NOV" dataDxfId="570" totalsRowDxfId="569">
      <calculatedColumnFormula>tblRenda5811142017232629323525811[[#Totals],[NOV]]-tblDespesas6912152118242730333636912[[#Totals],[NOV]]</calculatedColumnFormula>
    </tableColumn>
    <tableColumn id="13" name="DEZ" dataDxfId="568" totalsRowDxfId="567">
      <calculatedColumnFormula>tblRenda5811142017232629323525811[[#Totals],[DEZ]]-tblDespesas6912152118242730333636912[[#Totals],[DEZ]]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19.xml><?xml version="1.0" encoding="utf-8"?>
<table xmlns="http://schemas.openxmlformats.org/spreadsheetml/2006/main" id="13" name="tblRenda581114201723262932352581114" displayName="tblRenda581114201723262932352581114" ref="B7:N13" totalsRowCount="1">
  <tableColumns count="13">
    <tableColumn id="1" name="ENTRADA" totalsRowLabel="RENDA TOTAIS" totalsRowDxfId="566"/>
    <tableColumn id="2" name="JAN" totalsRowFunction="sum" dataDxfId="565" totalsRowDxfId="564"/>
    <tableColumn id="3" name="FEV" totalsRowFunction="sum" dataDxfId="563" totalsRowDxfId="562"/>
    <tableColumn id="4" name="MAR" totalsRowFunction="sum" dataDxfId="561" totalsRowDxfId="560"/>
    <tableColumn id="5" name="ABR" totalsRowFunction="sum" dataDxfId="559" totalsRowDxfId="558"/>
    <tableColumn id="6" name="MAI" totalsRowFunction="sum" dataDxfId="557" totalsRowDxfId="556"/>
    <tableColumn id="7" name="JUN" totalsRowFunction="sum" dataDxfId="555" totalsRowDxfId="554"/>
    <tableColumn id="8" name="JUL" totalsRowFunction="sum" dataDxfId="553" totalsRowDxfId="552"/>
    <tableColumn id="9" name="AGO" totalsRowFunction="sum" dataDxfId="551" totalsRowDxfId="550"/>
    <tableColumn id="10" name="SET" totalsRowFunction="sum" dataDxfId="549" totalsRowDxfId="548"/>
    <tableColumn id="11" name="OUT" totalsRowFunction="sum" dataDxfId="547" totalsRowDxfId="546"/>
    <tableColumn id="12" name="NOV" totalsRowFunction="sum" dataDxfId="545" totalsRowDxfId="544"/>
    <tableColumn id="13" name="DEZ" totalsRowFunction="sum" dataDxfId="543" totalsRowDxfId="542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2.xml><?xml version="1.0" encoding="utf-8"?>
<table xmlns="http://schemas.openxmlformats.org/spreadsheetml/2006/main" id="32" name="tblDespesas6918212427303336394245" displayName="tblDespesas6918212427303336394245" ref="B11:O13" totalsRowCount="1">
  <tableColumns count="14">
    <tableColumn id="1" name="DESPESAS" totalsRowLabel="DESPESAS TOTAIS" dataDxfId="992" totalsRowDxfId="13"/>
    <tableColumn id="2" name="JAN" totalsRowFunction="sum" dataDxfId="991" totalsRowDxfId="12"/>
    <tableColumn id="3" name="FEV" totalsRowFunction="sum" dataDxfId="990" totalsRowDxfId="11"/>
    <tableColumn id="4" name="MAR" totalsRowFunction="sum" dataDxfId="989" totalsRowDxfId="10"/>
    <tableColumn id="5" name="ABR" totalsRowFunction="sum" dataDxfId="988" totalsRowDxfId="9"/>
    <tableColumn id="6" name="MAI" totalsRowFunction="sum" dataDxfId="987" totalsRowDxfId="8"/>
    <tableColumn id="7" name="JUN" totalsRowFunction="sum" dataDxfId="986" totalsRowDxfId="7"/>
    <tableColumn id="8" name="JUL" totalsRowFunction="sum" dataDxfId="985" totalsRowDxfId="6"/>
    <tableColumn id="9" name="AGO" totalsRowFunction="sum" dataDxfId="984" totalsRowDxfId="5"/>
    <tableColumn id="10" name="SET" totalsRowFunction="sum" dataDxfId="983" totalsRowDxfId="4"/>
    <tableColumn id="11" name="OUT" totalsRowFunction="sum" dataDxfId="982" totalsRowDxfId="3"/>
    <tableColumn id="12" name="NOV" totalsRowFunction="sum" dataDxfId="981" totalsRowDxfId="2"/>
    <tableColumn id="13" name="DEZ" totalsRowFunction="sum" dataDxfId="980" totalsRowDxfId="1"/>
    <tableColumn id="14" name="TOTAL NO ANO" totalsRowFunction="sum" dataDxfId="979" totalsRowDxfId="0">
      <calculatedColumnFormula>SUM(tblDespesas6918212427303336394245[[#This Row],[JAN]:[DEZ]])</calculatedColumnFormula>
    </tableColumn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20.xml><?xml version="1.0" encoding="utf-8"?>
<table xmlns="http://schemas.openxmlformats.org/spreadsheetml/2006/main" id="14" name="tblDespesas691215211824273033363691215" displayName="tblDespesas691215211824273033363691215" ref="B15:N31" totalsRowCount="1">
  <tableColumns count="13">
    <tableColumn id="1" name="SAÍDA" totalsRowLabel="DESPESAS TOTAIS" dataDxfId="541" totalsRowDxfId="540"/>
    <tableColumn id="2" name="JAN" totalsRowFunction="sum" dataDxfId="539" totalsRowDxfId="538"/>
    <tableColumn id="3" name="FEV" totalsRowFunction="sum" dataDxfId="537" totalsRowDxfId="536"/>
    <tableColumn id="4" name="MAR" totalsRowFunction="sum" dataDxfId="535" totalsRowDxfId="534"/>
    <tableColumn id="5" name="ABR" totalsRowFunction="sum" dataDxfId="533" totalsRowDxfId="532"/>
    <tableColumn id="6" name="MAI" totalsRowFunction="sum" dataDxfId="531" totalsRowDxfId="530"/>
    <tableColumn id="7" name="JUN" totalsRowFunction="sum" dataDxfId="529" totalsRowDxfId="528"/>
    <tableColumn id="8" name="JUL" totalsRowFunction="sum" dataDxfId="527" totalsRowDxfId="526"/>
    <tableColumn id="9" name="AGO" totalsRowFunction="sum" dataDxfId="525" totalsRowDxfId="524"/>
    <tableColumn id="10" name="SET" totalsRowFunction="sum" dataDxfId="523" totalsRowDxfId="522"/>
    <tableColumn id="11" name="OUT" totalsRowFunction="sum" dataDxfId="521" totalsRowDxfId="520"/>
    <tableColumn id="12" name="NOV" totalsRowFunction="sum" dataDxfId="519" totalsRowDxfId="518"/>
    <tableColumn id="13" name="DEZ" totalsRowFunction="sum" dataDxfId="517" totalsRowDxfId="516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21.xml><?xml version="1.0" encoding="utf-8"?>
<table xmlns="http://schemas.openxmlformats.org/spreadsheetml/2006/main" id="15" name="tblCaixaDisponível71013162219252831343747101316" displayName="tblCaixaDisponível71013162219252831343747101316" ref="B4:N5">
  <tableColumns count="13">
    <tableColumn id="1" name="CAIXA " totalsRowLabel="Total" dataDxfId="515" totalsRowDxfId="514"/>
    <tableColumn id="2" name="JAN" dataDxfId="513" totalsRowDxfId="512">
      <calculatedColumnFormula>tblRenda581114201723262932352581114[[#Totals],[JAN]]-tblDespesas691215211824273033363691215[[#Totals],[JAN]]</calculatedColumnFormula>
    </tableColumn>
    <tableColumn id="3" name="FEV" dataDxfId="511" totalsRowDxfId="510">
      <calculatedColumnFormula>tblRenda581114201723262932352581114[[#Totals],[FEV]]-tblDespesas691215211824273033363691215[[#Totals],[FEV]]</calculatedColumnFormula>
    </tableColumn>
    <tableColumn id="4" name="MAR" dataDxfId="509" totalsRowDxfId="508">
      <calculatedColumnFormula>tblRenda581114201723262932352581114[[#Totals],[MAR]]-tblDespesas691215211824273033363691215[[#Totals],[MAR]]</calculatedColumnFormula>
    </tableColumn>
    <tableColumn id="5" name="ABR" dataDxfId="507" totalsRowDxfId="506">
      <calculatedColumnFormula>tblRenda581114201723262932352581114[[#Totals],[ABR]]-tblDespesas691215211824273033363691215[[#Totals],[ABR]]</calculatedColumnFormula>
    </tableColumn>
    <tableColumn id="6" name="MAI" dataDxfId="505" totalsRowDxfId="504">
      <calculatedColumnFormula>tblRenda581114201723262932352581114[[#Totals],[MAI]]-tblDespesas691215211824273033363691215[[#Totals],[MAI]]</calculatedColumnFormula>
    </tableColumn>
    <tableColumn id="7" name="JUN" dataDxfId="503" totalsRowDxfId="502">
      <calculatedColumnFormula>tblRenda581114201723262932352581114[[#Totals],[JUN]]-tblDespesas691215211824273033363691215[[#Totals],[JUN]]</calculatedColumnFormula>
    </tableColumn>
    <tableColumn id="8" name="JUL" dataDxfId="501" totalsRowDxfId="500">
      <calculatedColumnFormula>tblRenda581114201723262932352581114[[#Totals],[JUL]]-tblDespesas691215211824273033363691215[[#Totals],[JUL]]</calculatedColumnFormula>
    </tableColumn>
    <tableColumn id="9" name="AGO" dataDxfId="499" totalsRowDxfId="498">
      <calculatedColumnFormula>tblRenda581114201723262932352581114[[#Totals],[AGO]]-tblDespesas691215211824273033363691215[[#Totals],[AGO]]</calculatedColumnFormula>
    </tableColumn>
    <tableColumn id="10" name="SET" dataDxfId="497" totalsRowDxfId="496">
      <calculatedColumnFormula>tblRenda581114201723262932352581114[[#Totals],[SET]]-tblDespesas691215211824273033363691215[[#Totals],[SET]]</calculatedColumnFormula>
    </tableColumn>
    <tableColumn id="11" name="OUT" dataDxfId="495" totalsRowDxfId="494">
      <calculatedColumnFormula>tblRenda581114201723262932352581114[[#Totals],[OUT]]-tblDespesas691215211824273033363691215[[#Totals],[OUT]]</calculatedColumnFormula>
    </tableColumn>
    <tableColumn id="12" name="NOV" dataDxfId="493" totalsRowDxfId="492">
      <calculatedColumnFormula>tblRenda581114201723262932352581114[[#Totals],[NOV]]-tblDespesas691215211824273033363691215[[#Totals],[NOV]]</calculatedColumnFormula>
    </tableColumn>
    <tableColumn id="13" name="DEZ" dataDxfId="491" totalsRowDxfId="490">
      <calculatedColumnFormula>tblRenda581114201723262932352581114[[#Totals],[DEZ]]-tblDespesas691215211824273033363691215[[#Totals],[DEZ]]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22.xml><?xml version="1.0" encoding="utf-8"?>
<table xmlns="http://schemas.openxmlformats.org/spreadsheetml/2006/main" id="16" name="tblRenda58111420172326293235258111417" displayName="tblRenda58111420172326293235258111417" ref="B7:N13" totalsRowCount="1">
  <tableColumns count="13">
    <tableColumn id="1" name="ENTRADA" totalsRowLabel="RENDA TOTAIS" totalsRowDxfId="489"/>
    <tableColumn id="2" name="JAN" totalsRowFunction="sum" dataDxfId="488" totalsRowDxfId="487"/>
    <tableColumn id="3" name="FEV" totalsRowFunction="sum" dataDxfId="486" totalsRowDxfId="485"/>
    <tableColumn id="4" name="MAR" totalsRowFunction="sum" dataDxfId="484" totalsRowDxfId="483"/>
    <tableColumn id="5" name="ABR" totalsRowFunction="sum" dataDxfId="482" totalsRowDxfId="481"/>
    <tableColumn id="6" name="MAI" totalsRowFunction="sum" dataDxfId="480" totalsRowDxfId="479"/>
    <tableColumn id="7" name="JUN" totalsRowFunction="sum" dataDxfId="478" totalsRowDxfId="477"/>
    <tableColumn id="8" name="JUL" totalsRowFunction="sum" dataDxfId="476" totalsRowDxfId="475"/>
    <tableColumn id="9" name="AGO" totalsRowFunction="sum" dataDxfId="474" totalsRowDxfId="473"/>
    <tableColumn id="10" name="SET" totalsRowFunction="sum" dataDxfId="472" totalsRowDxfId="471"/>
    <tableColumn id="11" name="OUT" totalsRowFunction="sum" dataDxfId="470" totalsRowDxfId="469"/>
    <tableColumn id="12" name="NOV" totalsRowFunction="sum" dataDxfId="468" totalsRowDxfId="467"/>
    <tableColumn id="13" name="DEZ" totalsRowFunction="sum" dataDxfId="466" totalsRowDxfId="465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23.xml><?xml version="1.0" encoding="utf-8"?>
<table xmlns="http://schemas.openxmlformats.org/spreadsheetml/2006/main" id="17" name="tblDespesas69121521182427303336369121518" displayName="tblDespesas69121521182427303336369121518" ref="B15:N31" totalsRowCount="1">
  <tableColumns count="13">
    <tableColumn id="1" name="SAÍDA" totalsRowLabel="DESPESAS TOTAIS" dataDxfId="464" totalsRowDxfId="463"/>
    <tableColumn id="2" name="JAN" totalsRowFunction="sum" dataDxfId="462" totalsRowDxfId="461"/>
    <tableColumn id="3" name="FEV" totalsRowFunction="sum" dataDxfId="460" totalsRowDxfId="459"/>
    <tableColumn id="4" name="MAR" totalsRowFunction="sum" dataDxfId="458" totalsRowDxfId="457"/>
    <tableColumn id="5" name="ABR" totalsRowFunction="sum" dataDxfId="456" totalsRowDxfId="455"/>
    <tableColumn id="6" name="MAI" totalsRowFunction="sum" dataDxfId="454" totalsRowDxfId="453"/>
    <tableColumn id="7" name="JUN" totalsRowFunction="sum" dataDxfId="452" totalsRowDxfId="451"/>
    <tableColumn id="8" name="JUL" totalsRowFunction="sum" dataDxfId="450" totalsRowDxfId="449"/>
    <tableColumn id="9" name="AGO" totalsRowFunction="sum" dataDxfId="448" totalsRowDxfId="447"/>
    <tableColumn id="10" name="SET" totalsRowFunction="sum" dataDxfId="446" totalsRowDxfId="445"/>
    <tableColumn id="11" name="OUT" totalsRowFunction="sum" dataDxfId="444" totalsRowDxfId="443"/>
    <tableColumn id="12" name="NOV" totalsRowFunction="sum" dataDxfId="442" totalsRowDxfId="441"/>
    <tableColumn id="13" name="DEZ" totalsRowFunction="sum" dataDxfId="440" totalsRowDxfId="43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24.xml><?xml version="1.0" encoding="utf-8"?>
<table xmlns="http://schemas.openxmlformats.org/spreadsheetml/2006/main" id="18" name="tblCaixaDisponível7101316221925283134374710131619" displayName="tblCaixaDisponível7101316221925283134374710131619" ref="B4:N5">
  <tableColumns count="13">
    <tableColumn id="1" name="CAIXA " totalsRowLabel="Total" dataDxfId="438" totalsRowDxfId="437"/>
    <tableColumn id="2" name="JAN" dataDxfId="436" totalsRowDxfId="435">
      <calculatedColumnFormula>tblRenda58111420172326293235258111417[[#Totals],[JAN]]-tblDespesas69121521182427303336369121518[[#Totals],[JAN]]</calculatedColumnFormula>
    </tableColumn>
    <tableColumn id="3" name="FEV" dataDxfId="434" totalsRowDxfId="433">
      <calculatedColumnFormula>tblRenda58111420172326293235258111417[[#Totals],[FEV]]-tblDespesas69121521182427303336369121518[[#Totals],[FEV]]</calculatedColumnFormula>
    </tableColumn>
    <tableColumn id="4" name="MAR" dataDxfId="432" totalsRowDxfId="431">
      <calculatedColumnFormula>tblRenda58111420172326293235258111417[[#Totals],[MAR]]-tblDespesas69121521182427303336369121518[[#Totals],[MAR]]</calculatedColumnFormula>
    </tableColumn>
    <tableColumn id="5" name="ABR" dataDxfId="430" totalsRowDxfId="429">
      <calculatedColumnFormula>tblRenda58111420172326293235258111417[[#Totals],[ABR]]-tblDespesas69121521182427303336369121518[[#Totals],[ABR]]</calculatedColumnFormula>
    </tableColumn>
    <tableColumn id="6" name="MAI" dataDxfId="428" totalsRowDxfId="427">
      <calculatedColumnFormula>tblRenda58111420172326293235258111417[[#Totals],[MAI]]-tblDespesas69121521182427303336369121518[[#Totals],[MAI]]</calculatedColumnFormula>
    </tableColumn>
    <tableColumn id="7" name="JUN" dataDxfId="426" totalsRowDxfId="425">
      <calculatedColumnFormula>tblRenda58111420172326293235258111417[[#Totals],[JUN]]-tblDespesas69121521182427303336369121518[[#Totals],[JUN]]</calculatedColumnFormula>
    </tableColumn>
    <tableColumn id="8" name="JUL" dataDxfId="424" totalsRowDxfId="423">
      <calculatedColumnFormula>tblRenda58111420172326293235258111417[[#Totals],[JUL]]-tblDespesas69121521182427303336369121518[[#Totals],[JUL]]</calculatedColumnFormula>
    </tableColumn>
    <tableColumn id="9" name="AGO" dataDxfId="422" totalsRowDxfId="421">
      <calculatedColumnFormula>tblRenda58111420172326293235258111417[[#Totals],[AGO]]-tblDespesas69121521182427303336369121518[[#Totals],[AGO]]</calculatedColumnFormula>
    </tableColumn>
    <tableColumn id="10" name="SET" dataDxfId="420" totalsRowDxfId="419">
      <calculatedColumnFormula>tblRenda58111420172326293235258111417[[#Totals],[SET]]-tblDespesas69121521182427303336369121518[[#Totals],[SET]]</calculatedColumnFormula>
    </tableColumn>
    <tableColumn id="11" name="OUT" dataDxfId="418" totalsRowDxfId="417">
      <calculatedColumnFormula>tblRenda58111420172326293235258111417[[#Totals],[OUT]]-tblDespesas69121521182427303336369121518[[#Totals],[OUT]]</calculatedColumnFormula>
    </tableColumn>
    <tableColumn id="12" name="NOV" dataDxfId="416" totalsRowDxfId="415">
      <calculatedColumnFormula>tblRenda58111420172326293235258111417[[#Totals],[NOV]]-tblDespesas69121521182427303336369121518[[#Totals],[NOV]]</calculatedColumnFormula>
    </tableColumn>
    <tableColumn id="13" name="DEZ" dataDxfId="414" totalsRowDxfId="413">
      <calculatedColumnFormula>tblRenda58111420172326293235258111417[[#Totals],[DEZ]]-tblDespesas69121521182427303336369121518[[#Totals],[DEZ]]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25.xml><?xml version="1.0" encoding="utf-8"?>
<table xmlns="http://schemas.openxmlformats.org/spreadsheetml/2006/main" id="19" name="tblRenda5811142017232629323525811141720" displayName="tblRenda5811142017232629323525811141720" ref="B7:N13" totalsRowCount="1">
  <tableColumns count="13">
    <tableColumn id="1" name="ENTRADA" totalsRowLabel="RENDA TOTAIS" totalsRowDxfId="412"/>
    <tableColumn id="2" name="JAN" totalsRowFunction="sum" dataDxfId="411" totalsRowDxfId="410"/>
    <tableColumn id="3" name="FEV" totalsRowFunction="sum" dataDxfId="409" totalsRowDxfId="408"/>
    <tableColumn id="4" name="MAR" totalsRowFunction="sum" dataDxfId="407" totalsRowDxfId="406"/>
    <tableColumn id="5" name="ABR" totalsRowFunction="sum" dataDxfId="405" totalsRowDxfId="404"/>
    <tableColumn id="6" name="MAI" totalsRowFunction="sum" dataDxfId="403" totalsRowDxfId="402"/>
    <tableColumn id="7" name="JUN" totalsRowFunction="sum" dataDxfId="401" totalsRowDxfId="400"/>
    <tableColumn id="8" name="JUL" totalsRowFunction="sum" dataDxfId="399" totalsRowDxfId="398"/>
    <tableColumn id="9" name="AGO" totalsRowFunction="sum" dataDxfId="397" totalsRowDxfId="396"/>
    <tableColumn id="10" name="SET" totalsRowFunction="sum" dataDxfId="395" totalsRowDxfId="394"/>
    <tableColumn id="11" name="OUT" totalsRowFunction="sum" dataDxfId="393" totalsRowDxfId="392"/>
    <tableColumn id="12" name="NOV" totalsRowFunction="sum" dataDxfId="391" totalsRowDxfId="390"/>
    <tableColumn id="13" name="DEZ" totalsRowFunction="sum" dataDxfId="389" totalsRowDxfId="388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26.xml><?xml version="1.0" encoding="utf-8"?>
<table xmlns="http://schemas.openxmlformats.org/spreadsheetml/2006/main" id="20" name="tblDespesas6912152118242730333636912151821" displayName="tblDespesas6912152118242730333636912151821" ref="B15:N31" totalsRowCount="1">
  <tableColumns count="13">
    <tableColumn id="1" name="SAÍDA" totalsRowLabel="DESPESAS TOTAIS" dataDxfId="387" totalsRowDxfId="386"/>
    <tableColumn id="2" name="JAN" totalsRowFunction="sum" dataDxfId="385" totalsRowDxfId="384"/>
    <tableColumn id="3" name="FEV" totalsRowFunction="sum" dataDxfId="383" totalsRowDxfId="382"/>
    <tableColumn id="4" name="MAR" totalsRowFunction="sum" dataDxfId="381" totalsRowDxfId="380"/>
    <tableColumn id="5" name="ABR" totalsRowFunction="sum" dataDxfId="379" totalsRowDxfId="378"/>
    <tableColumn id="6" name="MAI" totalsRowFunction="sum" dataDxfId="377" totalsRowDxfId="376"/>
    <tableColumn id="7" name="JUN" totalsRowFunction="sum" dataDxfId="375" totalsRowDxfId="374"/>
    <tableColumn id="8" name="JUL" totalsRowFunction="sum" dataDxfId="373" totalsRowDxfId="372"/>
    <tableColumn id="9" name="AGO" totalsRowFunction="sum" dataDxfId="371" totalsRowDxfId="370"/>
    <tableColumn id="10" name="SET" totalsRowFunction="sum" dataDxfId="369" totalsRowDxfId="368"/>
    <tableColumn id="11" name="OUT" totalsRowFunction="sum" dataDxfId="367" totalsRowDxfId="366"/>
    <tableColumn id="12" name="NOV" totalsRowFunction="sum" dataDxfId="365" totalsRowDxfId="364"/>
    <tableColumn id="13" name="DEZ" totalsRowFunction="sum" dataDxfId="363" totalsRowDxfId="362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27.xml><?xml version="1.0" encoding="utf-8"?>
<table xmlns="http://schemas.openxmlformats.org/spreadsheetml/2006/main" id="21" name="tblCaixaDisponível710131622192528313437471013161922" displayName="tblCaixaDisponível710131622192528313437471013161922" ref="B4:N5">
  <tableColumns count="13">
    <tableColumn id="1" name="CAIXA " totalsRowLabel="Total" dataDxfId="361" totalsRowDxfId="360"/>
    <tableColumn id="2" name="JAN" dataDxfId="359" totalsRowDxfId="358">
      <calculatedColumnFormula>tblRenda5811142017232629323525811141720[[#Totals],[JAN]]-tblDespesas6912152118242730333636912151821[[#Totals],[JAN]]</calculatedColumnFormula>
    </tableColumn>
    <tableColumn id="3" name="FEV" dataDxfId="357" totalsRowDxfId="356">
      <calculatedColumnFormula>tblRenda5811142017232629323525811141720[[#Totals],[FEV]]-tblDespesas6912152118242730333636912151821[[#Totals],[FEV]]</calculatedColumnFormula>
    </tableColumn>
    <tableColumn id="4" name="MAR" dataDxfId="355" totalsRowDxfId="354">
      <calculatedColumnFormula>tblRenda5811142017232629323525811141720[[#Totals],[MAR]]-tblDespesas6912152118242730333636912151821[[#Totals],[MAR]]</calculatedColumnFormula>
    </tableColumn>
    <tableColumn id="5" name="ABR" dataDxfId="353" totalsRowDxfId="352">
      <calculatedColumnFormula>tblRenda5811142017232629323525811141720[[#Totals],[ABR]]-tblDespesas6912152118242730333636912151821[[#Totals],[ABR]]</calculatedColumnFormula>
    </tableColumn>
    <tableColumn id="6" name="MAI" dataDxfId="351" totalsRowDxfId="350">
      <calculatedColumnFormula>tblRenda5811142017232629323525811141720[[#Totals],[MAI]]-tblDespesas6912152118242730333636912151821[[#Totals],[MAI]]</calculatedColumnFormula>
    </tableColumn>
    <tableColumn id="7" name="JUN" dataDxfId="349" totalsRowDxfId="348">
      <calculatedColumnFormula>tblRenda5811142017232629323525811141720[[#Totals],[JUN]]-tblDespesas6912152118242730333636912151821[[#Totals],[JUN]]</calculatedColumnFormula>
    </tableColumn>
    <tableColumn id="8" name="JUL" dataDxfId="347" totalsRowDxfId="346">
      <calculatedColumnFormula>tblRenda5811142017232629323525811141720[[#Totals],[JUL]]-tblDespesas6912152118242730333636912151821[[#Totals],[JUL]]</calculatedColumnFormula>
    </tableColumn>
    <tableColumn id="9" name="AGO" dataDxfId="345" totalsRowDxfId="344">
      <calculatedColumnFormula>tblRenda5811142017232629323525811141720[[#Totals],[AGO]]-tblDespesas6912152118242730333636912151821[[#Totals],[AGO]]</calculatedColumnFormula>
    </tableColumn>
    <tableColumn id="10" name="SET" dataDxfId="343" totalsRowDxfId="342">
      <calculatedColumnFormula>tblRenda5811142017232629323525811141720[[#Totals],[SET]]-tblDespesas6912152118242730333636912151821[[#Totals],[SET]]</calculatedColumnFormula>
    </tableColumn>
    <tableColumn id="11" name="OUT" dataDxfId="341" totalsRowDxfId="340">
      <calculatedColumnFormula>tblRenda5811142017232629323525811141720[[#Totals],[OUT]]-tblDespesas6912152118242730333636912151821[[#Totals],[OUT]]</calculatedColumnFormula>
    </tableColumn>
    <tableColumn id="12" name="NOV" dataDxfId="339" totalsRowDxfId="338">
      <calculatedColumnFormula>tblRenda5811142017232629323525811141720[[#Totals],[NOV]]-tblDespesas6912152118242730333636912151821[[#Totals],[NOV]]</calculatedColumnFormula>
    </tableColumn>
    <tableColumn id="13" name="DEZ" dataDxfId="337" totalsRowDxfId="336">
      <calculatedColumnFormula>tblRenda5811142017232629323525811141720[[#Totals],[DEZ]]-tblDespesas6912152118242730333636912151821[[#Totals],[DEZ]]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28.xml><?xml version="1.0" encoding="utf-8"?>
<table xmlns="http://schemas.openxmlformats.org/spreadsheetml/2006/main" id="22" name="tblRenda581114201723262932352581114172023" displayName="tblRenda581114201723262932352581114172023" ref="B7:N13" totalsRowCount="1">
  <tableColumns count="13">
    <tableColumn id="1" name="ENTRADA" totalsRowLabel="RENDA TOTAIS" totalsRowDxfId="335"/>
    <tableColumn id="2" name="JAN" totalsRowFunction="sum" dataDxfId="334" totalsRowDxfId="333"/>
    <tableColumn id="3" name="FEV" totalsRowFunction="sum" dataDxfId="332" totalsRowDxfId="331"/>
    <tableColumn id="4" name="MAR" totalsRowFunction="sum" dataDxfId="330" totalsRowDxfId="329"/>
    <tableColumn id="5" name="ABR" totalsRowFunction="sum" dataDxfId="328" totalsRowDxfId="327"/>
    <tableColumn id="6" name="MAI" totalsRowFunction="sum" dataDxfId="326" totalsRowDxfId="325"/>
    <tableColumn id="7" name="JUN" totalsRowFunction="sum" dataDxfId="324" totalsRowDxfId="323"/>
    <tableColumn id="8" name="JUL" totalsRowFunction="sum" dataDxfId="322" totalsRowDxfId="321"/>
    <tableColumn id="9" name="AGO" totalsRowFunction="sum" dataDxfId="320" totalsRowDxfId="319"/>
    <tableColumn id="10" name="SET" totalsRowFunction="sum" dataDxfId="318" totalsRowDxfId="317"/>
    <tableColumn id="11" name="OUT" totalsRowFunction="sum" dataDxfId="316" totalsRowDxfId="315"/>
    <tableColumn id="12" name="NOV" totalsRowFunction="sum" dataDxfId="314" totalsRowDxfId="313"/>
    <tableColumn id="13" name="DEZ" totalsRowFunction="sum" dataDxfId="312" totalsRowDxfId="311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29.xml><?xml version="1.0" encoding="utf-8"?>
<table xmlns="http://schemas.openxmlformats.org/spreadsheetml/2006/main" id="23" name="tblDespesas691215211824273033363691215182124" displayName="tblDespesas691215211824273033363691215182124" ref="B15:N34" totalsRowCount="1">
  <tableColumns count="13">
    <tableColumn id="1" name="SAÍDA" totalsRowLabel="DESPESAS TOTAIS" dataDxfId="310" totalsRowDxfId="309"/>
    <tableColumn id="2" name="JAN" totalsRowFunction="sum" dataDxfId="308" totalsRowDxfId="307"/>
    <tableColumn id="3" name="FEV" totalsRowFunction="sum" dataDxfId="306" totalsRowDxfId="305"/>
    <tableColumn id="4" name="MAR" totalsRowFunction="sum" dataDxfId="304" totalsRowDxfId="303"/>
    <tableColumn id="5" name="ABR" totalsRowFunction="sum" dataDxfId="302" totalsRowDxfId="301"/>
    <tableColumn id="6" name="MAI" totalsRowFunction="sum" dataDxfId="300" totalsRowDxfId="299"/>
    <tableColumn id="7" name="JUN" totalsRowFunction="sum" dataDxfId="298" totalsRowDxfId="297"/>
    <tableColumn id="8" name="JUL" totalsRowFunction="sum" dataDxfId="296" totalsRowDxfId="295"/>
    <tableColumn id="9" name="AGO" totalsRowFunction="sum" dataDxfId="294" totalsRowDxfId="293"/>
    <tableColumn id="10" name="SET" totalsRowFunction="sum" dataDxfId="292" totalsRowDxfId="291"/>
    <tableColumn id="11" name="OUT" totalsRowFunction="sum" dataDxfId="290" totalsRowDxfId="289"/>
    <tableColumn id="12" name="NOV" totalsRowFunction="sum" dataDxfId="288" totalsRowDxfId="287"/>
    <tableColumn id="13" name="DEZ" totalsRowFunction="sum" dataDxfId="286" totalsRowDxfId="285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3.xml><?xml version="1.0" encoding="utf-8"?>
<table xmlns="http://schemas.openxmlformats.org/spreadsheetml/2006/main" id="33" name="tblCaixaDisponível71019222528313437404346" displayName="tblCaixaDisponível71019222528313437404346" ref="B4:O5">
  <tableColumns count="14">
    <tableColumn id="1" name="CAIXA DISPONÍVEL" totalsRowLabel="Total" dataDxfId="978" totalsRowDxfId="977"/>
    <tableColumn id="2" name="JAN" dataDxfId="976">
      <calculatedColumnFormula>tblRenda5817202326293235384144[[#Totals],[JAN]]-tblDespesas6918212427303336394245[[#Totals],[JAN]]</calculatedColumnFormula>
    </tableColumn>
    <tableColumn id="3" name="FEV" dataDxfId="975" totalsRowDxfId="974">
      <calculatedColumnFormula>tblRenda5817202326293235384144[[#Totals],[FEV]]-tblDespesas6918212427303336394245[[#Totals],[FEV]]</calculatedColumnFormula>
    </tableColumn>
    <tableColumn id="4" name="MAR" dataDxfId="973" totalsRowDxfId="972">
      <calculatedColumnFormula>tblRenda5817202326293235384144[[#Totals],[MAR]]-tblDespesas6918212427303336394245[[#Totals],[MAR]]</calculatedColumnFormula>
    </tableColumn>
    <tableColumn id="5" name="ABR" dataDxfId="971" totalsRowDxfId="970">
      <calculatedColumnFormula>tblRenda5817202326293235384144[[#Totals],[ABR]]-tblDespesas6918212427303336394245[[#Totals],[ABR]]</calculatedColumnFormula>
    </tableColumn>
    <tableColumn id="6" name="MAI" dataDxfId="969" totalsRowDxfId="968">
      <calculatedColumnFormula>tblRenda5817202326293235384144[[#Totals],[MAI]]-tblDespesas6918212427303336394245[[#Totals],[MAI]]</calculatedColumnFormula>
    </tableColumn>
    <tableColumn id="7" name="JUN" dataDxfId="967" totalsRowDxfId="966">
      <calculatedColumnFormula>tblRenda5817202326293235384144[[#Totals],[JUN]]-tblDespesas6918212427303336394245[[#Totals],[JUN]]</calculatedColumnFormula>
    </tableColumn>
    <tableColumn id="8" name="JUL" dataDxfId="965" totalsRowDxfId="964">
      <calculatedColumnFormula>tblRenda5817202326293235384144[[#Totals],[JUL]]-tblDespesas6918212427303336394245[[#Totals],[JUL]]</calculatedColumnFormula>
    </tableColumn>
    <tableColumn id="9" name="AGO" dataDxfId="963" totalsRowDxfId="962">
      <calculatedColumnFormula>tblRenda5817202326293235384144[[#Totals],[AGO]]-tblDespesas6918212427303336394245[[#Totals],[AGO]]</calculatedColumnFormula>
    </tableColumn>
    <tableColumn id="10" name="SET" dataDxfId="961" totalsRowDxfId="960">
      <calculatedColumnFormula>tblRenda5817202326293235384144[[#Totals],[SET]]-tblDespesas6918212427303336394245[[#Totals],[SET]]</calculatedColumnFormula>
    </tableColumn>
    <tableColumn id="11" name="OUT" dataDxfId="959" totalsRowDxfId="958">
      <calculatedColumnFormula>tblRenda5817202326293235384144[[#Totals],[OUT]]-tblDespesas6918212427303336394245[[#Totals],[OUT]]</calculatedColumnFormula>
    </tableColumn>
    <tableColumn id="12" name="NOV" dataDxfId="957" totalsRowDxfId="956">
      <calculatedColumnFormula>tblRenda5817202326293235384144[[#Totals],[NOV]]-tblDespesas6918212427303336394245[[#Totals],[NOV]]</calculatedColumnFormula>
    </tableColumn>
    <tableColumn id="13" name="DEZ" dataDxfId="955" totalsRowDxfId="954">
      <calculatedColumnFormula>tblRenda5817202326293235384144[[#Totals],[DEZ]]-tblDespesas6918212427303336394245[[#Totals],[DEZ]]</calculatedColumnFormula>
    </tableColumn>
    <tableColumn id="14" name="TOTAL NO ANO" dataDxfId="953" totalsRowDxfId="952">
      <calculatedColumnFormula>tblRenda5817202326293235384144[[#Totals],[TOTAL NO ANO]]-tblDespesas6918212427303336394245[[#Totals],[TOTAL NO ANO]]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30.xml><?xml version="1.0" encoding="utf-8"?>
<table xmlns="http://schemas.openxmlformats.org/spreadsheetml/2006/main" id="24" name="tblCaixaDisponível71013162219252831343747101316192225" displayName="tblCaixaDisponível71013162219252831343747101316192225" ref="B4:N5">
  <tableColumns count="13">
    <tableColumn id="1" name="CAIXA " totalsRowLabel="Total" dataDxfId="284" totalsRowDxfId="283"/>
    <tableColumn id="2" name="JAN" dataDxfId="282" totalsRowDxfId="281">
      <calculatedColumnFormula>tblRenda581114201723262932352581114172023[[#Totals],[JAN]]-tblDespesas691215211824273033363691215182124[[#Totals],[JAN]]</calculatedColumnFormula>
    </tableColumn>
    <tableColumn id="3" name="FEV" dataDxfId="280" totalsRowDxfId="279">
      <calculatedColumnFormula>tblRenda581114201723262932352581114172023[[#Totals],[FEV]]-tblDespesas691215211824273033363691215182124[[#Totals],[FEV]]</calculatedColumnFormula>
    </tableColumn>
    <tableColumn id="4" name="MAR" dataDxfId="278" totalsRowDxfId="277">
      <calculatedColumnFormula>tblRenda581114201723262932352581114172023[[#Totals],[MAR]]-tblDespesas691215211824273033363691215182124[[#Totals],[MAR]]</calculatedColumnFormula>
    </tableColumn>
    <tableColumn id="5" name="ABR" dataDxfId="276" totalsRowDxfId="275">
      <calculatedColumnFormula>tblRenda581114201723262932352581114172023[[#Totals],[ABR]]-tblDespesas691215211824273033363691215182124[[#Totals],[ABR]]</calculatedColumnFormula>
    </tableColumn>
    <tableColumn id="6" name="MAI" dataDxfId="274" totalsRowDxfId="273">
      <calculatedColumnFormula>tblRenda581114201723262932352581114172023[[#Totals],[MAI]]-tblDespesas691215211824273033363691215182124[[#Totals],[MAI]]</calculatedColumnFormula>
    </tableColumn>
    <tableColumn id="7" name="JUN" dataDxfId="272" totalsRowDxfId="271">
      <calculatedColumnFormula>tblRenda581114201723262932352581114172023[[#Totals],[JUN]]-tblDespesas691215211824273033363691215182124[[#Totals],[JUN]]</calculatedColumnFormula>
    </tableColumn>
    <tableColumn id="8" name="JUL" dataDxfId="270" totalsRowDxfId="269">
      <calculatedColumnFormula>tblRenda581114201723262932352581114172023[[#Totals],[JUL]]-tblDespesas691215211824273033363691215182124[[#Totals],[JUL]]</calculatedColumnFormula>
    </tableColumn>
    <tableColumn id="9" name="AGO" dataDxfId="268" totalsRowDxfId="267">
      <calculatedColumnFormula>tblRenda581114201723262932352581114172023[[#Totals],[AGO]]-tblDespesas691215211824273033363691215182124[[#Totals],[AGO]]</calculatedColumnFormula>
    </tableColumn>
    <tableColumn id="10" name="SET" dataDxfId="266" totalsRowDxfId="265">
      <calculatedColumnFormula>tblRenda581114201723262932352581114172023[[#Totals],[SET]]-tblDespesas691215211824273033363691215182124[[#Totals],[SET]]</calculatedColumnFormula>
    </tableColumn>
    <tableColumn id="11" name="OUT" dataDxfId="264" totalsRowDxfId="263">
      <calculatedColumnFormula>tblRenda581114201723262932352581114172023[[#Totals],[OUT]]-tblDespesas691215211824273033363691215182124[[#Totals],[OUT]]</calculatedColumnFormula>
    </tableColumn>
    <tableColumn id="12" name="NOV" dataDxfId="262" totalsRowDxfId="261">
      <calculatedColumnFormula>tblRenda581114201723262932352581114172023[[#Totals],[NOV]]-tblDespesas691215211824273033363691215182124[[#Totals],[NOV]]</calculatedColumnFormula>
    </tableColumn>
    <tableColumn id="13" name="DEZ" dataDxfId="260" totalsRowDxfId="259">
      <calculatedColumnFormula>tblRenda581114201723262932352581114172023[[#Totals],[DEZ]]-tblDespesas691215211824273033363691215182124[[#Totals],[DEZ]]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31.xml><?xml version="1.0" encoding="utf-8"?>
<table xmlns="http://schemas.openxmlformats.org/spreadsheetml/2006/main" id="25" name="tblRenda58111420172326293235258111417202326" displayName="tblRenda58111420172326293235258111417202326" ref="B7:N13" totalsRowCount="1">
  <tableColumns count="13">
    <tableColumn id="1" name="ENTRADA" totalsRowLabel="RENDA TOTAIS" totalsRowDxfId="258"/>
    <tableColumn id="2" name="JAN" totalsRowFunction="sum" dataDxfId="257" totalsRowDxfId="256"/>
    <tableColumn id="3" name="FEV" totalsRowFunction="sum" dataDxfId="255" totalsRowDxfId="254"/>
    <tableColumn id="4" name="MAR" totalsRowFunction="sum" dataDxfId="253" totalsRowDxfId="252"/>
    <tableColumn id="5" name="ABR" totalsRowFunction="sum" dataDxfId="251" totalsRowDxfId="250"/>
    <tableColumn id="6" name="MAI" totalsRowFunction="sum" dataDxfId="249" totalsRowDxfId="248"/>
    <tableColumn id="7" name="JUN" totalsRowFunction="sum" dataDxfId="247" totalsRowDxfId="246"/>
    <tableColumn id="8" name="JUL" totalsRowFunction="sum" dataDxfId="245" totalsRowDxfId="244"/>
    <tableColumn id="9" name="AGO" totalsRowFunction="sum" dataDxfId="243" totalsRowDxfId="242"/>
    <tableColumn id="10" name="SET" totalsRowFunction="sum" dataDxfId="241" totalsRowDxfId="240"/>
    <tableColumn id="11" name="OUT" totalsRowFunction="sum" dataDxfId="239" totalsRowDxfId="238"/>
    <tableColumn id="12" name="NOV" totalsRowFunction="sum" dataDxfId="237" totalsRowDxfId="236"/>
    <tableColumn id="13" name="DEZ" totalsRowFunction="sum" dataDxfId="235" totalsRowDxfId="234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32.xml><?xml version="1.0" encoding="utf-8"?>
<table xmlns="http://schemas.openxmlformats.org/spreadsheetml/2006/main" id="26" name="tblDespesas69121521182427303336369121518212427" displayName="tblDespesas69121521182427303336369121518212427" ref="B15:N32" totalsRowCount="1">
  <tableColumns count="13">
    <tableColumn id="1" name="SAÍDA" totalsRowLabel="DESPESAS TOTAIS" dataDxfId="233" totalsRowDxfId="232"/>
    <tableColumn id="2" name="JAN" totalsRowFunction="sum" dataDxfId="231" totalsRowDxfId="230"/>
    <tableColumn id="3" name="FEV" totalsRowFunction="sum" dataDxfId="229" totalsRowDxfId="228"/>
    <tableColumn id="4" name="MAR" totalsRowFunction="sum" dataDxfId="227" totalsRowDxfId="226"/>
    <tableColumn id="5" name="ABR" totalsRowFunction="sum" dataDxfId="225" totalsRowDxfId="224"/>
    <tableColumn id="6" name="MAI" totalsRowFunction="sum" dataDxfId="223" totalsRowDxfId="222"/>
    <tableColumn id="7" name="JUN" totalsRowFunction="sum" dataDxfId="221" totalsRowDxfId="220"/>
    <tableColumn id="8" name="JUL" totalsRowFunction="sum" dataDxfId="219" totalsRowDxfId="218"/>
    <tableColumn id="9" name="AGO" totalsRowFunction="sum" dataDxfId="217" totalsRowDxfId="216"/>
    <tableColumn id="10" name="SET" totalsRowFunction="sum" dataDxfId="215" totalsRowDxfId="214"/>
    <tableColumn id="11" name="OUT" totalsRowFunction="sum" dataDxfId="213" totalsRowDxfId="212"/>
    <tableColumn id="12" name="NOV" totalsRowFunction="sum" dataDxfId="211" totalsRowDxfId="210"/>
    <tableColumn id="13" name="DEZ" totalsRowFunction="sum" dataDxfId="209" totalsRowDxfId="208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33.xml><?xml version="1.0" encoding="utf-8"?>
<table xmlns="http://schemas.openxmlformats.org/spreadsheetml/2006/main" id="27" name="tblCaixaDisponível7101316221925283134374710131619222528" displayName="tblCaixaDisponível7101316221925283134374710131619222528" ref="B4:N5">
  <tableColumns count="13">
    <tableColumn id="1" name="CAIXA " totalsRowLabel="Total" dataDxfId="207" totalsRowDxfId="206"/>
    <tableColumn id="2" name="JAN" dataDxfId="205" totalsRowDxfId="204">
      <calculatedColumnFormula>tblRenda58111420172326293235258111417202326[[#Totals],[JAN]]-tblDespesas69121521182427303336369121518212427[[#Totals],[JAN]]</calculatedColumnFormula>
    </tableColumn>
    <tableColumn id="3" name="FEV" dataDxfId="203" totalsRowDxfId="202">
      <calculatedColumnFormula>tblRenda58111420172326293235258111417202326[[#Totals],[FEV]]-tblDespesas69121521182427303336369121518212427[[#Totals],[FEV]]</calculatedColumnFormula>
    </tableColumn>
    <tableColumn id="4" name="MAR" dataDxfId="201" totalsRowDxfId="200">
      <calculatedColumnFormula>tblRenda58111420172326293235258111417202326[[#Totals],[MAR]]-tblDespesas69121521182427303336369121518212427[[#Totals],[MAR]]</calculatedColumnFormula>
    </tableColumn>
    <tableColumn id="5" name="ABR" dataDxfId="199" totalsRowDxfId="198">
      <calculatedColumnFormula>tblRenda58111420172326293235258111417202326[[#Totals],[ABR]]-tblDespesas69121521182427303336369121518212427[[#Totals],[ABR]]</calculatedColumnFormula>
    </tableColumn>
    <tableColumn id="6" name="MAI" dataDxfId="197" totalsRowDxfId="196">
      <calculatedColumnFormula>tblRenda58111420172326293235258111417202326[[#Totals],[MAI]]-tblDespesas69121521182427303336369121518212427[[#Totals],[MAI]]</calculatedColumnFormula>
    </tableColumn>
    <tableColumn id="7" name="JUN" dataDxfId="195" totalsRowDxfId="194">
      <calculatedColumnFormula>tblRenda58111420172326293235258111417202326[[#Totals],[JUN]]-tblDespesas69121521182427303336369121518212427[[#Totals],[JUN]]</calculatedColumnFormula>
    </tableColumn>
    <tableColumn id="8" name="JUL" dataDxfId="193" totalsRowDxfId="192">
      <calculatedColumnFormula>tblRenda58111420172326293235258111417202326[[#Totals],[JUL]]-tblDespesas69121521182427303336369121518212427[[#Totals],[JUL]]</calculatedColumnFormula>
    </tableColumn>
    <tableColumn id="9" name="AGO" dataDxfId="191" totalsRowDxfId="190">
      <calculatedColumnFormula>tblRenda58111420172326293235258111417202326[[#Totals],[AGO]]-tblDespesas69121521182427303336369121518212427[[#Totals],[AGO]]</calculatedColumnFormula>
    </tableColumn>
    <tableColumn id="10" name="SET" dataDxfId="189" totalsRowDxfId="188">
      <calculatedColumnFormula>tblRenda58111420172326293235258111417202326[[#Totals],[SET]]-tblDespesas69121521182427303336369121518212427[[#Totals],[SET]]</calculatedColumnFormula>
    </tableColumn>
    <tableColumn id="11" name="OUT" dataDxfId="187" totalsRowDxfId="186">
      <calculatedColumnFormula>tblRenda58111420172326293235258111417202326[[#Totals],[OUT]]-tblDespesas69121521182427303336369121518212427[[#Totals],[OUT]]</calculatedColumnFormula>
    </tableColumn>
    <tableColumn id="12" name="NOV" dataDxfId="185" totalsRowDxfId="184">
      <calculatedColumnFormula>tblRenda58111420172326293235258111417202326[[#Totals],[NOV]]-tblDespesas69121521182427303336369121518212427[[#Totals],[NOV]]</calculatedColumnFormula>
    </tableColumn>
    <tableColumn id="13" name="DEZ" dataDxfId="183" totalsRowDxfId="182">
      <calculatedColumnFormula>tblRenda58111420172326293235258111417202326[[#Totals],[DEZ]]-tblDespesas69121521182427303336369121518212427[[#Totals],[DEZ]]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34.xml><?xml version="1.0" encoding="utf-8"?>
<table xmlns="http://schemas.openxmlformats.org/spreadsheetml/2006/main" id="28" name="tblRenda5811142017232629323525811141720232629" displayName="tblRenda5811142017232629323525811141720232629" ref="B7:N13" totalsRowCount="1">
  <tableColumns count="13">
    <tableColumn id="1" name="ENTRADA" totalsRowLabel="RENDA TOTAIS" totalsRowDxfId="181"/>
    <tableColumn id="2" name="JAN" totalsRowFunction="sum" dataDxfId="180" totalsRowDxfId="179"/>
    <tableColumn id="3" name="FEV" totalsRowFunction="sum" dataDxfId="178" totalsRowDxfId="177"/>
    <tableColumn id="4" name="MAR" totalsRowFunction="sum" dataDxfId="176" totalsRowDxfId="175"/>
    <tableColumn id="5" name="ABR" totalsRowFunction="sum" dataDxfId="174" totalsRowDxfId="173"/>
    <tableColumn id="6" name="MAI" totalsRowFunction="sum" dataDxfId="172" totalsRowDxfId="171"/>
    <tableColumn id="7" name="JUN" totalsRowFunction="sum" dataDxfId="170" totalsRowDxfId="169"/>
    <tableColumn id="8" name="JUL" totalsRowFunction="sum" dataDxfId="168" totalsRowDxfId="167"/>
    <tableColumn id="9" name="AGO" totalsRowFunction="sum" dataDxfId="166" totalsRowDxfId="165"/>
    <tableColumn id="10" name="SET" totalsRowFunction="sum" dataDxfId="164" totalsRowDxfId="163"/>
    <tableColumn id="11" name="OUT" totalsRowFunction="sum" dataDxfId="162" totalsRowDxfId="161"/>
    <tableColumn id="12" name="NOV" totalsRowFunction="sum" dataDxfId="160" totalsRowDxfId="159"/>
    <tableColumn id="13" name="DEZ" totalsRowFunction="sum" dataDxfId="158" totalsRowDxfId="157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35.xml><?xml version="1.0" encoding="utf-8"?>
<table xmlns="http://schemas.openxmlformats.org/spreadsheetml/2006/main" id="29" name="tblDespesas6912152118242730333636912151821242730" displayName="tblDespesas6912152118242730333636912151821242730" ref="B15:N35" totalsRowCount="1">
  <tableColumns count="13">
    <tableColumn id="1" name="SAÍDA" totalsRowLabel="DESPESAS TOTAIS" dataDxfId="156" totalsRowDxfId="155"/>
    <tableColumn id="2" name="JAN" totalsRowFunction="sum" dataDxfId="154" totalsRowDxfId="153"/>
    <tableColumn id="3" name="FEV" totalsRowFunction="sum" dataDxfId="152" totalsRowDxfId="151"/>
    <tableColumn id="4" name="MAR" totalsRowFunction="sum" dataDxfId="150" totalsRowDxfId="149"/>
    <tableColumn id="5" name="ABR" totalsRowFunction="sum" dataDxfId="148" totalsRowDxfId="147"/>
    <tableColumn id="6" name="MAI" totalsRowFunction="sum" dataDxfId="146" totalsRowDxfId="145"/>
    <tableColumn id="7" name="JUN" totalsRowFunction="sum" dataDxfId="144" totalsRowDxfId="143"/>
    <tableColumn id="8" name="JUL" totalsRowFunction="sum" dataDxfId="142" totalsRowDxfId="141"/>
    <tableColumn id="9" name="AGO" totalsRowFunction="sum" dataDxfId="140" totalsRowDxfId="139"/>
    <tableColumn id="10" name="SET" totalsRowFunction="sum" dataDxfId="138" totalsRowDxfId="137"/>
    <tableColumn id="11" name="OUT" totalsRowFunction="sum" dataDxfId="136" totalsRowDxfId="135"/>
    <tableColumn id="12" name="NOV" totalsRowFunction="sum" dataDxfId="134" totalsRowDxfId="133"/>
    <tableColumn id="13" name="DEZ" totalsRowFunction="sum" dataDxfId="132" totalsRowDxfId="131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36.xml><?xml version="1.0" encoding="utf-8"?>
<table xmlns="http://schemas.openxmlformats.org/spreadsheetml/2006/main" id="30" name="tblCaixaDisponível710131622192528313437471013161922252831" displayName="tblCaixaDisponível710131622192528313437471013161922252831" ref="B4:N5">
  <tableColumns count="13">
    <tableColumn id="1" name="CAIXA " totalsRowLabel="Total" dataDxfId="130" totalsRowDxfId="129"/>
    <tableColumn id="2" name="JAN" dataDxfId="128" totalsRowDxfId="127">
      <calculatedColumnFormula>tblRenda5811142017232629323525811141720232629[[#Totals],[JAN]]-tblDespesas6912152118242730333636912151821242730[[#Totals],[JAN]]</calculatedColumnFormula>
    </tableColumn>
    <tableColumn id="3" name="FEV" dataDxfId="126" totalsRowDxfId="125">
      <calculatedColumnFormula>tblRenda5811142017232629323525811141720232629[[#Totals],[FEV]]-tblDespesas6912152118242730333636912151821242730[[#Totals],[FEV]]</calculatedColumnFormula>
    </tableColumn>
    <tableColumn id="4" name="MAR" dataDxfId="124" totalsRowDxfId="123">
      <calculatedColumnFormula>tblRenda5811142017232629323525811141720232629[[#Totals],[MAR]]-tblDespesas6912152118242730333636912151821242730[[#Totals],[MAR]]</calculatedColumnFormula>
    </tableColumn>
    <tableColumn id="5" name="ABR" dataDxfId="122" totalsRowDxfId="121">
      <calculatedColumnFormula>tblRenda5811142017232629323525811141720232629[[#Totals],[ABR]]-tblDespesas6912152118242730333636912151821242730[[#Totals],[ABR]]</calculatedColumnFormula>
    </tableColumn>
    <tableColumn id="6" name="MAI" dataDxfId="120" totalsRowDxfId="119">
      <calculatedColumnFormula>tblRenda5811142017232629323525811141720232629[[#Totals],[MAI]]-tblDespesas6912152118242730333636912151821242730[[#Totals],[MAI]]</calculatedColumnFormula>
    </tableColumn>
    <tableColumn id="7" name="JUN" dataDxfId="118" totalsRowDxfId="117">
      <calculatedColumnFormula>tblRenda5811142017232629323525811141720232629[[#Totals],[JUN]]-tblDespesas6912152118242730333636912151821242730[[#Totals],[JUN]]</calculatedColumnFormula>
    </tableColumn>
    <tableColumn id="8" name="JUL" dataDxfId="116" totalsRowDxfId="115">
      <calculatedColumnFormula>tblRenda5811142017232629323525811141720232629[[#Totals],[JUL]]-tblDespesas6912152118242730333636912151821242730[[#Totals],[JUL]]</calculatedColumnFormula>
    </tableColumn>
    <tableColumn id="9" name="AGO" dataDxfId="114" totalsRowDxfId="113">
      <calculatedColumnFormula>tblRenda5811142017232629323525811141720232629[[#Totals],[AGO]]-tblDespesas6912152118242730333636912151821242730[[#Totals],[AGO]]</calculatedColumnFormula>
    </tableColumn>
    <tableColumn id="10" name="SET" dataDxfId="112" totalsRowDxfId="111">
      <calculatedColumnFormula>tblRenda5811142017232629323525811141720232629[[#Totals],[SET]]-tblDespesas6912152118242730333636912151821242730[[#Totals],[SET]]</calculatedColumnFormula>
    </tableColumn>
    <tableColumn id="11" name="OUT" dataDxfId="110" totalsRowDxfId="109">
      <calculatedColumnFormula>tblRenda5811142017232629323525811141720232629[[#Totals],[OUT]]-tblDespesas6912152118242730333636912151821242730[[#Totals],[OUT]]</calculatedColumnFormula>
    </tableColumn>
    <tableColumn id="12" name="NOV" dataDxfId="108" totalsRowDxfId="107">
      <calculatedColumnFormula>tblRenda5811142017232629323525811141720232629[[#Totals],[NOV]]-tblDespesas6912152118242730333636912151821242730[[#Totals],[NOV]]</calculatedColumnFormula>
    </tableColumn>
    <tableColumn id="13" name="DEZ" dataDxfId="106" totalsRowDxfId="105">
      <calculatedColumnFormula>tblRenda5811142017232629323525811141720232629[[#Totals],[DEZ]]-tblDespesas6912152118242730333636912151821242730[[#Totals],[DEZ]]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37.xml><?xml version="1.0" encoding="utf-8"?>
<table xmlns="http://schemas.openxmlformats.org/spreadsheetml/2006/main" id="37" name="tblRenda581114201723262932352581114172023262938" displayName="tblRenda581114201723262932352581114172023262938" ref="B7:N13" totalsRowCount="1">
  <tableColumns count="13">
    <tableColumn id="1" name="ENTRADA" totalsRowLabel="RENDA TOTAIS" totalsRowDxfId="40"/>
    <tableColumn id="2" name="JAN" totalsRowFunction="sum" dataDxfId="104" totalsRowDxfId="39"/>
    <tableColumn id="3" name="FEV" totalsRowFunction="sum" dataDxfId="103" totalsRowDxfId="38"/>
    <tableColumn id="4" name="MAR" totalsRowFunction="sum" dataDxfId="102" totalsRowDxfId="37"/>
    <tableColumn id="5" name="ABR" totalsRowFunction="sum" dataDxfId="101" totalsRowDxfId="36"/>
    <tableColumn id="6" name="MAI" totalsRowFunction="sum" dataDxfId="100" totalsRowDxfId="35"/>
    <tableColumn id="7" name="JUN" totalsRowFunction="sum" dataDxfId="99" totalsRowDxfId="34"/>
    <tableColumn id="8" name="JUL" totalsRowFunction="sum" dataDxfId="98" totalsRowDxfId="33"/>
    <tableColumn id="9" name="AGO" totalsRowFunction="sum" dataDxfId="97" totalsRowDxfId="32"/>
    <tableColumn id="10" name="SET" totalsRowFunction="sum" dataDxfId="96" totalsRowDxfId="31"/>
    <tableColumn id="11" name="OUT" totalsRowFunction="sum" dataDxfId="95" totalsRowDxfId="30"/>
    <tableColumn id="12" name="NOV" totalsRowFunction="sum" dataDxfId="94" totalsRowDxfId="29"/>
    <tableColumn id="13" name="DEZ" totalsRowFunction="sum" dataDxfId="93" totalsRowDxfId="28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38.xml><?xml version="1.0" encoding="utf-8"?>
<table xmlns="http://schemas.openxmlformats.org/spreadsheetml/2006/main" id="38" name="tblDespesas691215211824273033363691215182124273039" displayName="tblDespesas691215211824273033363691215182124273039" ref="B15:N33" totalsRowCount="1">
  <tableColumns count="13">
    <tableColumn id="1" name="SAÍDA" totalsRowLabel="DESPESAS TOTAIS" dataDxfId="92" totalsRowDxfId="91"/>
    <tableColumn id="2" name="JAN" totalsRowFunction="sum" dataDxfId="90" totalsRowDxfId="89"/>
    <tableColumn id="3" name="FEV" totalsRowFunction="sum" dataDxfId="88" totalsRowDxfId="87"/>
    <tableColumn id="4" name="MAR" totalsRowFunction="sum" dataDxfId="86" totalsRowDxfId="85"/>
    <tableColumn id="5" name="ABR" totalsRowFunction="sum" dataDxfId="84" totalsRowDxfId="83"/>
    <tableColumn id="6" name="MAI" totalsRowFunction="sum" dataDxfId="82" totalsRowDxfId="81"/>
    <tableColumn id="7" name="JUN" totalsRowFunction="sum" dataDxfId="80" totalsRowDxfId="79"/>
    <tableColumn id="8" name="JUL" totalsRowFunction="sum" dataDxfId="78" totalsRowDxfId="77"/>
    <tableColumn id="9" name="AGO" totalsRowFunction="sum" dataDxfId="76" totalsRowDxfId="75"/>
    <tableColumn id="10" name="SET" totalsRowFunction="sum" dataDxfId="74" totalsRowDxfId="73"/>
    <tableColumn id="11" name="OUT" totalsRowFunction="sum" dataDxfId="72" totalsRowDxfId="71"/>
    <tableColumn id="12" name="NOV" totalsRowFunction="sum" dataDxfId="70" totalsRowDxfId="69"/>
    <tableColumn id="13" name="DEZ" totalsRowFunction="sum" dataDxfId="68" totalsRowDxfId="67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39.xml><?xml version="1.0" encoding="utf-8"?>
<table xmlns="http://schemas.openxmlformats.org/spreadsheetml/2006/main" id="39" name="tblCaixaDisponível71013162219252831343747101316192225283140" displayName="tblCaixaDisponível71013162219252831343747101316192225283140" ref="B4:N5">
  <tableColumns count="13">
    <tableColumn id="1" name="CAIXA " totalsRowLabel="Total" dataDxfId="66" totalsRowDxfId="65"/>
    <tableColumn id="2" name="JAN" dataDxfId="64" totalsRowDxfId="63">
      <calculatedColumnFormula>tblRenda581114201723262932352581114172023262938[[#Totals],[JAN]]-tblDespesas691215211824273033363691215182124273039[[#Totals],[JAN]]</calculatedColumnFormula>
    </tableColumn>
    <tableColumn id="3" name="FEV" dataDxfId="62" totalsRowDxfId="61">
      <calculatedColumnFormula>tblRenda581114201723262932352581114172023262938[[#Totals],[FEV]]-tblDespesas691215211824273033363691215182124273039[[#Totals],[FEV]]</calculatedColumnFormula>
    </tableColumn>
    <tableColumn id="4" name="MAR" dataDxfId="60" totalsRowDxfId="59">
      <calculatedColumnFormula>tblRenda581114201723262932352581114172023262938[[#Totals],[MAR]]-tblDespesas691215211824273033363691215182124273039[[#Totals],[MAR]]</calculatedColumnFormula>
    </tableColumn>
    <tableColumn id="5" name="ABR" dataDxfId="58" totalsRowDxfId="57">
      <calculatedColumnFormula>tblRenda581114201723262932352581114172023262938[[#Totals],[ABR]]-tblDespesas691215211824273033363691215182124273039[[#Totals],[ABR]]</calculatedColumnFormula>
    </tableColumn>
    <tableColumn id="6" name="MAI" dataDxfId="56" totalsRowDxfId="55">
      <calculatedColumnFormula>tblRenda581114201723262932352581114172023262938[[#Totals],[MAI]]-tblDespesas691215211824273033363691215182124273039[[#Totals],[MAI]]</calculatedColumnFormula>
    </tableColumn>
    <tableColumn id="7" name="JUN" dataDxfId="54" totalsRowDxfId="53">
      <calculatedColumnFormula>tblRenda581114201723262932352581114172023262938[[#Totals],[JUN]]-tblDespesas691215211824273033363691215182124273039[[#Totals],[JUN]]</calculatedColumnFormula>
    </tableColumn>
    <tableColumn id="8" name="JUL" dataDxfId="52" totalsRowDxfId="51">
      <calculatedColumnFormula>tblRenda581114201723262932352581114172023262938[[#Totals],[JUL]]-tblDespesas691215211824273033363691215182124273039[[#Totals],[JUL]]</calculatedColumnFormula>
    </tableColumn>
    <tableColumn id="9" name="AGO" dataDxfId="50" totalsRowDxfId="49">
      <calculatedColumnFormula>tblRenda581114201723262932352581114172023262938[[#Totals],[AGO]]-tblDespesas691215211824273033363691215182124273039[[#Totals],[AGO]]</calculatedColumnFormula>
    </tableColumn>
    <tableColumn id="10" name="SET" dataDxfId="48" totalsRowDxfId="47">
      <calculatedColumnFormula>tblRenda581114201723262932352581114172023262938[[#Totals],[SET]]-tblDespesas691215211824273033363691215182124273039[[#Totals],[SET]]</calculatedColumnFormula>
    </tableColumn>
    <tableColumn id="11" name="OUT" dataDxfId="46" totalsRowDxfId="45">
      <calculatedColumnFormula>tblRenda581114201723262932352581114172023262938[[#Totals],[OUT]]-tblDespesas691215211824273033363691215182124273039[[#Totals],[OUT]]</calculatedColumnFormula>
    </tableColumn>
    <tableColumn id="12" name="NOV" dataDxfId="44" totalsRowDxfId="43">
      <calculatedColumnFormula>tblRenda581114201723262932352581114172023262938[[#Totals],[NOV]]-tblDespesas691215211824273033363691215182124273039[[#Totals],[NOV]]</calculatedColumnFormula>
    </tableColumn>
    <tableColumn id="13" name="DEZ" dataDxfId="42" totalsRowDxfId="41">
      <calculatedColumnFormula>tblRenda581114201723262932352581114172023262938[[#Totals],[DEZ]]-tblDespesas691215211824273033363691215182124273039[[#Totals],[DEZ]]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4.xml><?xml version="1.0" encoding="utf-8"?>
<table xmlns="http://schemas.openxmlformats.org/spreadsheetml/2006/main" id="34" name="tblRenda58111420172326293235" displayName="tblRenda58111420172326293235" ref="B7:N13" totalsRowCount="1">
  <tableColumns count="13">
    <tableColumn id="1" name="ENTRADA" totalsRowLabel="RENDA TOTAIS" totalsRowDxfId="951"/>
    <tableColumn id="2" name="JAN" totalsRowFunction="sum" dataDxfId="950" totalsRowDxfId="949"/>
    <tableColumn id="3" name="FEV" totalsRowFunction="sum" dataDxfId="948" totalsRowDxfId="947"/>
    <tableColumn id="4" name="MAR" totalsRowFunction="sum" dataDxfId="946" totalsRowDxfId="945"/>
    <tableColumn id="5" name="ABR" totalsRowFunction="sum" dataDxfId="944" totalsRowDxfId="943"/>
    <tableColumn id="6" name="MAI" totalsRowFunction="sum" dataDxfId="942" totalsRowDxfId="941"/>
    <tableColumn id="7" name="JUN" totalsRowFunction="sum" dataDxfId="940" totalsRowDxfId="939"/>
    <tableColumn id="8" name="JUL" totalsRowFunction="sum" dataDxfId="938" totalsRowDxfId="937"/>
    <tableColumn id="9" name="AGO" totalsRowFunction="sum" dataDxfId="936" totalsRowDxfId="935"/>
    <tableColumn id="10" name="SET" totalsRowFunction="sum" dataDxfId="934" totalsRowDxfId="933"/>
    <tableColumn id="11" name="OUT" totalsRowFunction="sum" dataDxfId="932" totalsRowDxfId="931"/>
    <tableColumn id="12" name="NOV" totalsRowFunction="sum" dataDxfId="930" totalsRowDxfId="929"/>
    <tableColumn id="13" name="DEZ" totalsRowFunction="sum" dataDxfId="928" totalsRowDxfId="927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5.xml><?xml version="1.0" encoding="utf-8"?>
<table xmlns="http://schemas.openxmlformats.org/spreadsheetml/2006/main" id="35" name="tblDespesas69121521182427303336" displayName="tblDespesas69121521182427303336" ref="B15:N34" totalsRowCount="1">
  <tableColumns count="13">
    <tableColumn id="1" name="SAÍDA" totalsRowLabel="DESPESAS TOTAIS" dataDxfId="926" totalsRowDxfId="925"/>
    <tableColumn id="2" name="JAN" totalsRowFunction="sum" dataDxfId="924" totalsRowDxfId="923"/>
    <tableColumn id="3" name="FEV" totalsRowFunction="sum" dataDxfId="922" totalsRowDxfId="921"/>
    <tableColumn id="4" name="MAR" totalsRowFunction="sum" dataDxfId="920" totalsRowDxfId="919"/>
    <tableColumn id="5" name="ABR" totalsRowFunction="sum" dataDxfId="918" totalsRowDxfId="917"/>
    <tableColumn id="6" name="MAI" totalsRowFunction="sum" dataDxfId="916" totalsRowDxfId="915"/>
    <tableColumn id="7" name="JUN" totalsRowFunction="sum" dataDxfId="914" totalsRowDxfId="913"/>
    <tableColumn id="8" name="JUL" totalsRowFunction="sum" dataDxfId="912" totalsRowDxfId="911"/>
    <tableColumn id="9" name="AGO" totalsRowFunction="sum" dataDxfId="910" totalsRowDxfId="909"/>
    <tableColumn id="10" name="SET" totalsRowFunction="sum" dataDxfId="908" totalsRowDxfId="907"/>
    <tableColumn id="11" name="OUT" totalsRowFunction="sum" dataDxfId="906" totalsRowDxfId="905"/>
    <tableColumn id="12" name="NOV" totalsRowFunction="sum" dataDxfId="904" totalsRowDxfId="903"/>
    <tableColumn id="13" name="DEZ" totalsRowFunction="sum" dataDxfId="902" totalsRowDxfId="901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6.xml><?xml version="1.0" encoding="utf-8"?>
<table xmlns="http://schemas.openxmlformats.org/spreadsheetml/2006/main" id="36" name="tblCaixaDisponível710131622192528313437" displayName="tblCaixaDisponível710131622192528313437" ref="B4:N5">
  <tableColumns count="13">
    <tableColumn id="1" name="CAIXA " totalsRowLabel="Total" dataDxfId="900" totalsRowDxfId="899"/>
    <tableColumn id="2" name="JAN" dataDxfId="898" totalsRowDxfId="897">
      <calculatedColumnFormula>tblRenda58111420172326293235[[#Totals],[JAN]]-tblDespesas69121521182427303336[[#Totals],[JAN]]</calculatedColumnFormula>
    </tableColumn>
    <tableColumn id="3" name="FEV" dataDxfId="896" totalsRowDxfId="895">
      <calculatedColumnFormula>tblRenda58111420172326293235[[#Totals],[FEV]]-tblDespesas69121521182427303336[[#Totals],[FEV]]</calculatedColumnFormula>
    </tableColumn>
    <tableColumn id="4" name="MAR" dataDxfId="894" totalsRowDxfId="893">
      <calculatedColumnFormula>tblRenda58111420172326293235[[#Totals],[MAR]]-tblDespesas69121521182427303336[[#Totals],[MAR]]</calculatedColumnFormula>
    </tableColumn>
    <tableColumn id="5" name="ABR" dataDxfId="892" totalsRowDxfId="891">
      <calculatedColumnFormula>tblRenda58111420172326293235[[#Totals],[ABR]]-tblDespesas69121521182427303336[[#Totals],[ABR]]</calculatedColumnFormula>
    </tableColumn>
    <tableColumn id="6" name="MAI" dataDxfId="890" totalsRowDxfId="889">
      <calculatedColumnFormula>tblRenda58111420172326293235[[#Totals],[MAI]]-tblDespesas69121521182427303336[[#Totals],[MAI]]</calculatedColumnFormula>
    </tableColumn>
    <tableColumn id="7" name="JUN" dataDxfId="888" totalsRowDxfId="887">
      <calculatedColumnFormula>tblRenda58111420172326293235[[#Totals],[JUN]]-tblDespesas69121521182427303336[[#Totals],[JUN]]</calculatedColumnFormula>
    </tableColumn>
    <tableColumn id="8" name="JUL" dataDxfId="886" totalsRowDxfId="885">
      <calculatedColumnFormula>tblRenda58111420172326293235[[#Totals],[JUL]]-tblDespesas69121521182427303336[[#Totals],[JUL]]</calculatedColumnFormula>
    </tableColumn>
    <tableColumn id="9" name="AGO" dataDxfId="884" totalsRowDxfId="883">
      <calculatedColumnFormula>tblRenda58111420172326293235[[#Totals],[AGO]]-tblDespesas69121521182427303336[[#Totals],[AGO]]</calculatedColumnFormula>
    </tableColumn>
    <tableColumn id="10" name="SET" dataDxfId="882" totalsRowDxfId="881">
      <calculatedColumnFormula>tblRenda58111420172326293235[[#Totals],[SET]]-tblDespesas69121521182427303336[[#Totals],[SET]]</calculatedColumnFormula>
    </tableColumn>
    <tableColumn id="11" name="OUT" dataDxfId="880" totalsRowDxfId="879">
      <calculatedColumnFormula>tblRenda58111420172326293235[[#Totals],[OUT]]-tblDespesas69121521182427303336[[#Totals],[OUT]]</calculatedColumnFormula>
    </tableColumn>
    <tableColumn id="12" name="NOV" dataDxfId="878" totalsRowDxfId="877">
      <calculatedColumnFormula>tblRenda58111420172326293235[[#Totals],[NOV]]-tblDespesas69121521182427303336[[#Totals],[NOV]]</calculatedColumnFormula>
    </tableColumn>
    <tableColumn id="13" name="DEZ" dataDxfId="876" totalsRowDxfId="875">
      <calculatedColumnFormula>tblRenda58111420172326293235[[#Totals],[DEZ]]-tblDespesas69121521182427303336[[#Totals],[DEZ]]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ables/table7.xml><?xml version="1.0" encoding="utf-8"?>
<table xmlns="http://schemas.openxmlformats.org/spreadsheetml/2006/main" id="1" name="tblRenda581114201723262932352" displayName="tblRenda581114201723262932352" ref="B7:N13" totalsRowCount="1">
  <tableColumns count="13">
    <tableColumn id="1" name="ENTRADA" totalsRowLabel="RENDA TOTAIS" totalsRowDxfId="874"/>
    <tableColumn id="2" name="JAN" totalsRowFunction="sum" dataDxfId="873" totalsRowDxfId="872"/>
    <tableColumn id="3" name="FEV" totalsRowFunction="sum" dataDxfId="871" totalsRowDxfId="870"/>
    <tableColumn id="4" name="MAR" totalsRowFunction="sum" dataDxfId="869" totalsRowDxfId="868"/>
    <tableColumn id="5" name="ABR" totalsRowFunction="sum" dataDxfId="867" totalsRowDxfId="866"/>
    <tableColumn id="6" name="MAI" totalsRowFunction="sum" dataDxfId="865" totalsRowDxfId="864"/>
    <tableColumn id="7" name="JUN" totalsRowFunction="sum" dataDxfId="863" totalsRowDxfId="862"/>
    <tableColumn id="8" name="JUL" totalsRowFunction="sum" dataDxfId="861" totalsRowDxfId="860"/>
    <tableColumn id="9" name="AGO" totalsRowFunction="sum" dataDxfId="859" totalsRowDxfId="858"/>
    <tableColumn id="10" name="SET" totalsRowFunction="sum" dataDxfId="857" totalsRowDxfId="856"/>
    <tableColumn id="11" name="OUT" totalsRowFunction="sum" dataDxfId="855" totalsRowDxfId="854"/>
    <tableColumn id="12" name="NOV" totalsRowFunction="sum" dataDxfId="853" totalsRowDxfId="852"/>
    <tableColumn id="13" name="DEZ" totalsRowFunction="sum" dataDxfId="851" totalsRowDxfId="850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Renda mensal" altTextSummary="Resume a renda por tipo para cada mês do calendário."/>
    </ext>
  </extLst>
</table>
</file>

<file path=xl/tables/table8.xml><?xml version="1.0" encoding="utf-8"?>
<table xmlns="http://schemas.openxmlformats.org/spreadsheetml/2006/main" id="2" name="tblDespesas691215211824273033363" displayName="tblDespesas691215211824273033363" ref="B15:N35" totalsRowCount="1">
  <tableColumns count="13">
    <tableColumn id="1" name="SAÍDA" totalsRowLabel="DESPESAS TOTAIS" dataDxfId="849" totalsRowDxfId="848"/>
    <tableColumn id="2" name="JAN" totalsRowFunction="sum" dataDxfId="847" totalsRowDxfId="846"/>
    <tableColumn id="3" name="FEV" totalsRowFunction="sum" dataDxfId="845" totalsRowDxfId="844"/>
    <tableColumn id="4" name="MAR" totalsRowFunction="sum" dataDxfId="843" totalsRowDxfId="842"/>
    <tableColumn id="5" name="ABR" totalsRowFunction="sum" dataDxfId="841" totalsRowDxfId="840"/>
    <tableColumn id="6" name="MAI" totalsRowFunction="sum" dataDxfId="839" totalsRowDxfId="838"/>
    <tableColumn id="7" name="JUN" totalsRowFunction="sum" dataDxfId="837" totalsRowDxfId="836"/>
    <tableColumn id="8" name="JUL" totalsRowFunction="sum" dataDxfId="835" totalsRowDxfId="834"/>
    <tableColumn id="9" name="AGO" totalsRowFunction="sum" dataDxfId="833" totalsRowDxfId="832"/>
    <tableColumn id="10" name="SET" totalsRowFunction="sum" dataDxfId="831" totalsRowDxfId="830"/>
    <tableColumn id="11" name="OUT" totalsRowFunction="sum" dataDxfId="829" totalsRowDxfId="828"/>
    <tableColumn id="12" name="NOV" totalsRowFunction="sum" dataDxfId="827" totalsRowDxfId="826"/>
    <tableColumn id="13" name="DEZ" totalsRowFunction="sum" dataDxfId="825" totalsRowDxfId="824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Despesas mensais" altTextSummary="Resumo das despesas para cada mês do calendário."/>
    </ext>
  </extLst>
</table>
</file>

<file path=xl/tables/table9.xml><?xml version="1.0" encoding="utf-8"?>
<table xmlns="http://schemas.openxmlformats.org/spreadsheetml/2006/main" id="3" name="tblCaixaDisponível7101316221925283134374" displayName="tblCaixaDisponível7101316221925283134374" ref="B4:N5">
  <tableColumns count="13">
    <tableColumn id="1" name="CAIXA " totalsRowLabel="Total" dataDxfId="823" totalsRowDxfId="822"/>
    <tableColumn id="2" name="JAN" dataDxfId="821" totalsRowDxfId="820">
      <calculatedColumnFormula>tblRenda581114201723262932352[[#Totals],[JAN]]-tblDespesas691215211824273033363[[#Totals],[JAN]]</calculatedColumnFormula>
    </tableColumn>
    <tableColumn id="3" name="FEV" dataDxfId="819" totalsRowDxfId="818">
      <calculatedColumnFormula>tblRenda581114201723262932352[[#Totals],[FEV]]-tblDespesas691215211824273033363[[#Totals],[FEV]]</calculatedColumnFormula>
    </tableColumn>
    <tableColumn id="4" name="MAR" dataDxfId="817" totalsRowDxfId="816">
      <calculatedColumnFormula>tblRenda581114201723262932352[[#Totals],[MAR]]-tblDespesas691215211824273033363[[#Totals],[MAR]]</calculatedColumnFormula>
    </tableColumn>
    <tableColumn id="5" name="ABR" dataDxfId="815" totalsRowDxfId="814">
      <calculatedColumnFormula>tblRenda581114201723262932352[[#Totals],[ABR]]-tblDespesas691215211824273033363[[#Totals],[ABR]]</calculatedColumnFormula>
    </tableColumn>
    <tableColumn id="6" name="MAI" dataDxfId="813" totalsRowDxfId="812">
      <calculatedColumnFormula>tblRenda581114201723262932352[[#Totals],[MAI]]-tblDespesas691215211824273033363[[#Totals],[MAI]]</calculatedColumnFormula>
    </tableColumn>
    <tableColumn id="7" name="JUN" dataDxfId="811" totalsRowDxfId="810">
      <calculatedColumnFormula>tblRenda581114201723262932352[[#Totals],[JUN]]-tblDespesas691215211824273033363[[#Totals],[JUN]]</calculatedColumnFormula>
    </tableColumn>
    <tableColumn id="8" name="JUL" dataDxfId="809" totalsRowDxfId="808">
      <calculatedColumnFormula>tblRenda581114201723262932352[[#Totals],[JUL]]-tblDespesas691215211824273033363[[#Totals],[JUL]]</calculatedColumnFormula>
    </tableColumn>
    <tableColumn id="9" name="AGO" dataDxfId="807" totalsRowDxfId="806">
      <calculatedColumnFormula>tblRenda581114201723262932352[[#Totals],[AGO]]-tblDespesas691215211824273033363[[#Totals],[AGO]]</calculatedColumnFormula>
    </tableColumn>
    <tableColumn id="10" name="SET" dataDxfId="805" totalsRowDxfId="804">
      <calculatedColumnFormula>tblRenda581114201723262932352[[#Totals],[SET]]-tblDespesas691215211824273033363[[#Totals],[SET]]</calculatedColumnFormula>
    </tableColumn>
    <tableColumn id="11" name="OUT" dataDxfId="803" totalsRowDxfId="802">
      <calculatedColumnFormula>tblRenda581114201723262932352[[#Totals],[OUT]]-tblDespesas691215211824273033363[[#Totals],[OUT]]</calculatedColumnFormula>
    </tableColumn>
    <tableColumn id="12" name="NOV" dataDxfId="801" totalsRowDxfId="800">
      <calculatedColumnFormula>tblRenda581114201723262932352[[#Totals],[NOV]]-tblDespesas691215211824273033363[[#Totals],[NOV]]</calculatedColumnFormula>
    </tableColumn>
    <tableColumn id="13" name="DEZ" dataDxfId="799" totalsRowDxfId="798">
      <calculatedColumnFormula>tblRenda581114201723262932352[[#Totals],[DEZ]]-tblDespesas691215211824273033363[[#Totals],[DEZ]]</calculatedColumnFormula>
    </tableColumn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Caixa mensal disponível" altTextSummary="Resume o caixa disponível (renda menos despesas) para cada mês do calendário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A1:P28"/>
  <sheetViews>
    <sheetView showGridLines="0" tabSelected="1" zoomScale="90" zoomScaleNormal="90" workbookViewId="0">
      <selection activeCell="N14" sqref="N14"/>
    </sheetView>
  </sheetViews>
  <sheetFormatPr defaultRowHeight="21" customHeight="1" x14ac:dyDescent="0.2"/>
  <cols>
    <col min="1" max="1" width="1.42578125" style="2" customWidth="1"/>
    <col min="2" max="2" width="38.7109375" style="2" customWidth="1"/>
    <col min="3" max="3" width="11.5703125" style="2" customWidth="1"/>
    <col min="4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44"/>
      <c r="B1" s="13"/>
      <c r="C1" s="44"/>
      <c r="D1" s="44"/>
      <c r="E1" s="44"/>
      <c r="F1" s="44"/>
      <c r="H1" s="44"/>
      <c r="I1" s="44"/>
      <c r="J1" s="44"/>
      <c r="M1" s="44"/>
      <c r="N1"/>
      <c r="O1"/>
      <c r="P1"/>
    </row>
    <row r="2" spans="1:16" ht="21" customHeight="1" x14ac:dyDescent="0.25">
      <c r="A2" s="44"/>
      <c r="B2" s="3" t="s">
        <v>39</v>
      </c>
      <c r="C2" s="4"/>
      <c r="D2" s="44"/>
      <c r="E2" s="44"/>
      <c r="F2" s="44"/>
      <c r="H2" s="44"/>
      <c r="I2" s="44"/>
      <c r="J2" s="44"/>
      <c r="K2" s="44"/>
      <c r="L2" s="44"/>
      <c r="M2" s="44"/>
      <c r="N2"/>
    </row>
    <row r="3" spans="1:16" ht="21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11" customFormat="1" ht="21" customHeight="1" x14ac:dyDescent="0.2">
      <c r="A4" s="48"/>
      <c r="B4" s="16" t="s">
        <v>1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17</v>
      </c>
    </row>
    <row r="5" spans="1:16" s="6" customFormat="1" ht="21" customHeight="1" x14ac:dyDescent="0.2">
      <c r="A5" s="47"/>
      <c r="B5" s="28" t="s">
        <v>0</v>
      </c>
      <c r="C5" s="46">
        <f>tblRenda5817202326293235384144[[#Totals],[JAN]]-tblDespesas6918212427303336394245[[#Totals],[JAN]]</f>
        <v>-403</v>
      </c>
      <c r="D5" s="46">
        <f>tblRenda5817202326293235384144[[#Totals],[FEV]]-tblDespesas6918212427303336394245[[#Totals],[FEV]]</f>
        <v>-453</v>
      </c>
      <c r="E5" s="46">
        <f>tblRenda5817202326293235384144[[#Totals],[MAR]]-tblDespesas6918212427303336394245[[#Totals],[MAR]]</f>
        <v>-485</v>
      </c>
      <c r="F5" s="46">
        <f>tblRenda5817202326293235384144[[#Totals],[ABR]]-tblDespesas6918212427303336394245[[#Totals],[ABR]]</f>
        <v>-300</v>
      </c>
      <c r="G5" s="46">
        <f>tblRenda5817202326293235384144[[#Totals],[MAI]]-tblDespesas6918212427303336394245[[#Totals],[MAI]]</f>
        <v>-200</v>
      </c>
      <c r="H5" s="46">
        <f>tblRenda5817202326293235384144[[#Totals],[JUN]]-tblDespesas6918212427303336394245[[#Totals],[JUN]]</f>
        <v>950</v>
      </c>
      <c r="I5" s="46">
        <f>tblRenda5817202326293235384144[[#Totals],[JUL]]-tblDespesas6918212427303336394245[[#Totals],[JUL]]</f>
        <v>950</v>
      </c>
      <c r="J5" s="46">
        <f>tblRenda5817202326293235384144[[#Totals],[AGO]]-tblDespesas6918212427303336394245[[#Totals],[AGO]]</f>
        <v>227</v>
      </c>
      <c r="K5" s="46">
        <f>tblRenda5817202326293235384144[[#Totals],[SET]]-tblDespesas6918212427303336394245[[#Totals],[SET]]</f>
        <v>-533</v>
      </c>
      <c r="L5" s="46">
        <f>tblRenda5817202326293235384144[[#Totals],[OUT]]-tblDespesas6918212427303336394245[[#Totals],[OUT]]</f>
        <v>27</v>
      </c>
      <c r="M5" s="46">
        <f>tblRenda5817202326293235384144[[#Totals],[NOV]]-tblDespesas6918212427303336394245[[#Totals],[NOV]]</f>
        <v>-317</v>
      </c>
      <c r="N5" s="46">
        <f>tblRenda5817202326293235384144[[#Totals],[DEZ]]-tblDespesas6918212427303336394245[[#Totals],[DEZ]]</f>
        <v>603</v>
      </c>
      <c r="O5" s="46">
        <f>tblRenda5817202326293235384144[[#Totals],[TOTAL NO ANO]]-tblDespesas6918212427303336394245[[#Totals],[TOTAL NO ANO]]</f>
        <v>66</v>
      </c>
    </row>
    <row r="6" spans="1:16" ht="21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1" customHeight="1" x14ac:dyDescent="0.2">
      <c r="A7" s="44"/>
      <c r="B7" s="18" t="s">
        <v>14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  <c r="O7" s="17" t="s">
        <v>17</v>
      </c>
    </row>
    <row r="8" spans="1:16" s="9" customFormat="1" ht="21" customHeight="1" x14ac:dyDescent="0.2">
      <c r="A8" s="45"/>
      <c r="B8" s="15" t="s">
        <v>28</v>
      </c>
      <c r="C8" s="21">
        <v>855</v>
      </c>
      <c r="D8" s="21">
        <v>855</v>
      </c>
      <c r="E8" s="21">
        <v>855</v>
      </c>
      <c r="F8" s="21">
        <v>855</v>
      </c>
      <c r="G8" s="21">
        <v>855</v>
      </c>
      <c r="H8" s="21">
        <v>2000</v>
      </c>
      <c r="I8" s="21">
        <v>2000</v>
      </c>
      <c r="J8" s="21">
        <v>2000</v>
      </c>
      <c r="K8" s="21">
        <v>2000</v>
      </c>
      <c r="L8" s="21">
        <v>2000</v>
      </c>
      <c r="M8" s="21">
        <v>2000</v>
      </c>
      <c r="N8" s="21">
        <v>2000</v>
      </c>
      <c r="O8" s="21">
        <f>SUM(tblRenda5817202326293235384144[[#This Row],[JAN]:[DEZ]])</f>
        <v>18275</v>
      </c>
    </row>
    <row r="9" spans="1:16" s="8" customFormat="1" ht="21" customHeight="1" x14ac:dyDescent="0.2">
      <c r="B9" s="12" t="s">
        <v>18</v>
      </c>
      <c r="C9" s="23">
        <f>SUBTOTAL(109,tblRenda5817202326293235384144[JAN])</f>
        <v>855</v>
      </c>
      <c r="D9" s="23">
        <f>SUBTOTAL(109,tblRenda5817202326293235384144[FEV])</f>
        <v>855</v>
      </c>
      <c r="E9" s="23">
        <f>SUBTOTAL(109,tblRenda5817202326293235384144[MAR])</f>
        <v>855</v>
      </c>
      <c r="F9" s="23">
        <f>SUBTOTAL(109,tblRenda5817202326293235384144[ABR])</f>
        <v>855</v>
      </c>
      <c r="G9" s="23">
        <f>SUBTOTAL(109,tblRenda5817202326293235384144[MAI])</f>
        <v>855</v>
      </c>
      <c r="H9" s="23">
        <f>SUBTOTAL(109,tblRenda5817202326293235384144[JUN])</f>
        <v>2000</v>
      </c>
      <c r="I9" s="23">
        <f>SUBTOTAL(109,tblRenda5817202326293235384144[JUL])</f>
        <v>2000</v>
      </c>
      <c r="J9" s="23">
        <f>SUBTOTAL(109,tblRenda5817202326293235384144[AGO])</f>
        <v>2000</v>
      </c>
      <c r="K9" s="23">
        <f>SUBTOTAL(109,tblRenda5817202326293235384144[SET])</f>
        <v>2000</v>
      </c>
      <c r="L9" s="23">
        <f>SUBTOTAL(109,tblRenda5817202326293235384144[OUT])</f>
        <v>2000</v>
      </c>
      <c r="M9" s="23">
        <f>SUBTOTAL(109,tblRenda5817202326293235384144[NOV])</f>
        <v>2000</v>
      </c>
      <c r="N9" s="23">
        <f>SUBTOTAL(109,tblRenda5817202326293235384144[DEZ])</f>
        <v>2000</v>
      </c>
      <c r="O9" s="23">
        <f>SUBTOTAL(109,tblRenda5817202326293235384144[TOTAL NO ANO])</f>
        <v>18275</v>
      </c>
    </row>
    <row r="10" spans="1:16" s="9" customFormat="1" ht="21" customHeight="1" x14ac:dyDescent="0.2">
      <c r="A10" s="4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6" ht="21" customHeight="1" x14ac:dyDescent="0.2">
      <c r="A11" s="44"/>
      <c r="B11" s="18" t="s">
        <v>15</v>
      </c>
      <c r="C11" s="17" t="s">
        <v>2</v>
      </c>
      <c r="D11" s="17" t="s">
        <v>3</v>
      </c>
      <c r="E11" s="17" t="s">
        <v>13</v>
      </c>
      <c r="F11" s="17" t="s">
        <v>4</v>
      </c>
      <c r="G11" s="17" t="s">
        <v>5</v>
      </c>
      <c r="H11" s="17" t="s">
        <v>6</v>
      </c>
      <c r="I11" s="17" t="s">
        <v>7</v>
      </c>
      <c r="J11" s="17" t="s">
        <v>8</v>
      </c>
      <c r="K11" s="17" t="s">
        <v>9</v>
      </c>
      <c r="L11" s="17" t="s">
        <v>10</v>
      </c>
      <c r="M11" s="17" t="s">
        <v>11</v>
      </c>
      <c r="N11" s="17" t="s">
        <v>12</v>
      </c>
      <c r="O11" s="17" t="s">
        <v>17</v>
      </c>
    </row>
    <row r="12" spans="1:16" ht="21" customHeight="1" x14ac:dyDescent="0.2">
      <c r="A12" s="44"/>
      <c r="B12" s="15" t="s">
        <v>29</v>
      </c>
      <c r="C12" s="21">
        <v>1258</v>
      </c>
      <c r="D12" s="21">
        <v>1308</v>
      </c>
      <c r="E12" s="21">
        <v>1340</v>
      </c>
      <c r="F12" s="21">
        <v>1155</v>
      </c>
      <c r="G12" s="21">
        <v>1055</v>
      </c>
      <c r="H12" s="21">
        <v>1050</v>
      </c>
      <c r="I12" s="21">
        <v>1050</v>
      </c>
      <c r="J12" s="21">
        <v>1773</v>
      </c>
      <c r="K12" s="21">
        <v>2533</v>
      </c>
      <c r="L12" s="21">
        <v>1973</v>
      </c>
      <c r="M12" s="21">
        <v>2317</v>
      </c>
      <c r="N12" s="21">
        <v>1397</v>
      </c>
      <c r="O12" s="21">
        <f>SUM(tblDespesas6918212427303336394245[[#This Row],[JAN]:[DEZ]])</f>
        <v>18209</v>
      </c>
      <c r="P12" s="25"/>
    </row>
    <row r="13" spans="1:16" ht="21" customHeight="1" x14ac:dyDescent="0.2">
      <c r="A13" s="44"/>
      <c r="B13" s="12" t="s">
        <v>16</v>
      </c>
      <c r="C13" s="24">
        <f>SUBTOTAL(109,tblDespesas6918212427303336394245[JAN])</f>
        <v>1258</v>
      </c>
      <c r="D13" s="24">
        <f>SUBTOTAL(109,tblDespesas6918212427303336394245[FEV])</f>
        <v>1308</v>
      </c>
      <c r="E13" s="24">
        <f>SUBTOTAL(109,tblDespesas6918212427303336394245[MAR])</f>
        <v>1340</v>
      </c>
      <c r="F13" s="24">
        <f>SUBTOTAL(109,tblDespesas6918212427303336394245[ABR])</f>
        <v>1155</v>
      </c>
      <c r="G13" s="24">
        <f>SUBTOTAL(109,tblDespesas6918212427303336394245[MAI])</f>
        <v>1055</v>
      </c>
      <c r="H13" s="24">
        <f>SUBTOTAL(109,tblDespesas6918212427303336394245[JUN])</f>
        <v>1050</v>
      </c>
      <c r="I13" s="24">
        <f>SUBTOTAL(109,tblDespesas6918212427303336394245[JUL])</f>
        <v>1050</v>
      </c>
      <c r="J13" s="24">
        <f>SUBTOTAL(109,tblDespesas6918212427303336394245[AGO])</f>
        <v>1773</v>
      </c>
      <c r="K13" s="24">
        <f>SUBTOTAL(109,tblDespesas6918212427303336394245[SET])</f>
        <v>2533</v>
      </c>
      <c r="L13" s="24">
        <f>SUBTOTAL(109,tblDespesas6918212427303336394245[OUT])</f>
        <v>1973</v>
      </c>
      <c r="M13" s="24">
        <f>SUBTOTAL(109,tblDespesas6918212427303336394245[NOV])</f>
        <v>2317</v>
      </c>
      <c r="N13" s="24">
        <f>SUBTOTAL(109,tblDespesas6918212427303336394245[DEZ])</f>
        <v>1397</v>
      </c>
      <c r="O13" s="24">
        <f>SUBTOTAL(109,tblDespesas6918212427303336394245[TOTAL NO ANO])</f>
        <v>18209</v>
      </c>
    </row>
    <row r="14" spans="1:16" ht="21" customHeight="1" x14ac:dyDescent="0.2">
      <c r="A14" s="44"/>
      <c r="B14" s="1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6" ht="21" customHeight="1" x14ac:dyDescent="0.2">
      <c r="A15" s="44"/>
      <c r="B15" s="27" t="s">
        <v>30</v>
      </c>
      <c r="N15" s="43"/>
    </row>
    <row r="16" spans="1:16" ht="21" customHeight="1" x14ac:dyDescent="0.2">
      <c r="A16" s="44"/>
      <c r="B16" s="26" t="s">
        <v>36</v>
      </c>
    </row>
    <row r="17" spans="1:16" ht="21" customHeight="1" x14ac:dyDescent="0.2">
      <c r="A17" s="44"/>
    </row>
    <row r="18" spans="1:16" ht="21" customHeight="1" x14ac:dyDescent="0.2">
      <c r="A18" s="44"/>
    </row>
    <row r="19" spans="1:16" ht="21" customHeight="1" x14ac:dyDescent="0.2">
      <c r="A19" s="44"/>
    </row>
    <row r="20" spans="1:16" ht="21" customHeight="1" x14ac:dyDescent="0.2">
      <c r="A20" s="44"/>
    </row>
    <row r="21" spans="1:16" ht="21" customHeight="1" x14ac:dyDescent="0.2">
      <c r="A21" s="44"/>
    </row>
    <row r="22" spans="1:16" ht="21" customHeight="1" x14ac:dyDescent="0.2">
      <c r="A22" s="44"/>
    </row>
    <row r="23" spans="1:16" ht="21" customHeight="1" x14ac:dyDescent="0.2">
      <c r="A23" s="44"/>
    </row>
    <row r="24" spans="1:16" ht="21" customHeight="1" x14ac:dyDescent="0.2">
      <c r="A24" s="44"/>
    </row>
    <row r="25" spans="1:16" customFormat="1" ht="21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ht="21" customHeight="1" x14ac:dyDescent="0.2">
      <c r="A26" s="44"/>
    </row>
    <row r="28" spans="1:16" ht="21" customHeight="1" x14ac:dyDescent="0.2">
      <c r="P28" s="14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P28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2"/>
  <sheetViews>
    <sheetView showGridLines="0" topLeftCell="A13" zoomScale="90" zoomScaleNormal="90" workbookViewId="0">
      <selection activeCell="I22" sqref="I22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tblRenda581114201723262932352581114172023[[#Totals],[JAN]]-tblDespesas691215211824273033363691215182124[[#Totals],[JAN]]</f>
        <v>0</v>
      </c>
      <c r="D5" s="22">
        <f>tblRenda581114201723262932352581114172023[[#Totals],[FEV]]-tblDespesas691215211824273033363691215182124[[#Totals],[FEV]]</f>
        <v>0</v>
      </c>
      <c r="E5" s="22">
        <f>tblRenda581114201723262932352581114172023[[#Totals],[MAR]]-tblDespesas691215211824273033363691215182124[[#Totals],[MAR]]</f>
        <v>0</v>
      </c>
      <c r="F5" s="22">
        <f>tblRenda581114201723262932352581114172023[[#Totals],[ABR]]-tblDespesas691215211824273033363691215182124[[#Totals],[ABR]]</f>
        <v>0</v>
      </c>
      <c r="G5" s="22">
        <f>tblRenda581114201723262932352581114172023[[#Totals],[MAI]]-tblDespesas691215211824273033363691215182124[[#Totals],[MAI]]</f>
        <v>0</v>
      </c>
      <c r="H5" s="22">
        <f>tblRenda581114201723262932352581114172023[[#Totals],[JUN]]-tblDespesas691215211824273033363691215182124[[#Totals],[JUN]]</f>
        <v>0</v>
      </c>
      <c r="I5" s="22">
        <f>tblRenda581114201723262932352581114172023[[#Totals],[JUL]]-tblDespesas691215211824273033363691215182124[[#Totals],[JUL]]</f>
        <v>0</v>
      </c>
      <c r="J5" s="22">
        <f>tblRenda581114201723262932352581114172023[[#Totals],[AGO]]-tblDespesas691215211824273033363691215182124[[#Totals],[AGO]]</f>
        <v>0</v>
      </c>
      <c r="K5" s="22">
        <f>tblRenda581114201723262932352581114172023[[#Totals],[SET]]-tblDespesas691215211824273033363691215182124[[#Totals],[SET]]</f>
        <v>-533</v>
      </c>
      <c r="L5" s="22">
        <f>tblRenda581114201723262932352581114172023[[#Totals],[OUT]]-tblDespesas691215211824273033363691215182124[[#Totals],[OUT]]</f>
        <v>0</v>
      </c>
      <c r="M5" s="22">
        <f>tblRenda581114201723262932352581114172023[[#Totals],[NOV]]-tblDespesas691215211824273033363691215182124[[#Totals],[NOV]]</f>
        <v>0</v>
      </c>
      <c r="N5" s="22">
        <f>tblRenda581114201723262932352581114172023[[#Totals],[DEZ]]-tblDespesas691215211824273033363691215182124[[#Totals],[DEZ]]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64</v>
      </c>
      <c r="C9" s="32"/>
      <c r="D9" s="21"/>
      <c r="E9" s="21"/>
      <c r="F9" s="32"/>
      <c r="G9" s="32"/>
      <c r="H9" s="32"/>
      <c r="I9" s="21"/>
      <c r="J9" s="32"/>
      <c r="K9" s="42">
        <v>2000</v>
      </c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SUBTOTAL(109,tblRenda581114201723262932352581114172023[JAN])</f>
        <v>0</v>
      </c>
      <c r="D13" s="35">
        <f>SUBTOTAL(109,tblRenda581114201723262932352581114172023[FEV])</f>
        <v>0</v>
      </c>
      <c r="E13" s="35">
        <f>SUBTOTAL(109,tblRenda581114201723262932352581114172023[MAR])</f>
        <v>0</v>
      </c>
      <c r="F13" s="35">
        <f>SUBTOTAL(109,tblRenda581114201723262932352581114172023[ABR])</f>
        <v>0</v>
      </c>
      <c r="G13" s="35">
        <f>SUBTOTAL(109,tblRenda581114201723262932352581114172023[MAI])</f>
        <v>0</v>
      </c>
      <c r="H13" s="35">
        <f>SUBTOTAL(109,tblRenda581114201723262932352581114172023[JUN])</f>
        <v>0</v>
      </c>
      <c r="I13" s="35">
        <f>SUBTOTAL(109,tblRenda581114201723262932352581114172023[JUL])</f>
        <v>0</v>
      </c>
      <c r="J13" s="35">
        <f>SUBTOTAL(109,tblRenda581114201723262932352581114172023[AGO])</f>
        <v>0</v>
      </c>
      <c r="K13" s="35">
        <f>SUBTOTAL(109,tblRenda581114201723262932352581114172023[SET])</f>
        <v>2000</v>
      </c>
      <c r="L13" s="35">
        <f>SUBTOTAL(109,tblRenda581114201723262932352581114172023[OUT])</f>
        <v>0</v>
      </c>
      <c r="M13" s="35">
        <f>SUBTOTAL(109,tblRenda581114201723262932352581114172023[NOV])</f>
        <v>0</v>
      </c>
      <c r="N13" s="35">
        <f>SUBTOTAL(109,tblRenda581114201723262932352581114172023[DEZ])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4" ht="21" customHeight="1" x14ac:dyDescent="0.2">
      <c r="A17" s="1"/>
      <c r="B17" s="12" t="s">
        <v>57</v>
      </c>
      <c r="C17" s="32"/>
      <c r="D17" s="21"/>
      <c r="E17" s="21"/>
      <c r="F17" s="32"/>
      <c r="G17" s="21"/>
      <c r="H17" s="32"/>
      <c r="I17" s="21"/>
      <c r="J17" s="32"/>
      <c r="K17" s="42">
        <v>170</v>
      </c>
      <c r="L17" s="21"/>
      <c r="M17" s="21"/>
      <c r="N17" s="21"/>
    </row>
    <row r="18" spans="1:14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32"/>
      <c r="I18" s="21"/>
      <c r="J18" s="32"/>
      <c r="K18" s="42">
        <v>220</v>
      </c>
      <c r="L18" s="21"/>
      <c r="M18" s="21"/>
      <c r="N18" s="21"/>
    </row>
    <row r="19" spans="1:14" ht="21" customHeight="1" x14ac:dyDescent="0.2">
      <c r="A19" s="1"/>
      <c r="B19" s="12" t="s">
        <v>60</v>
      </c>
      <c r="C19" s="32"/>
      <c r="D19" s="21"/>
      <c r="E19" s="21"/>
      <c r="F19" s="32"/>
      <c r="G19" s="21"/>
      <c r="H19" s="32"/>
      <c r="I19" s="21"/>
      <c r="J19" s="32"/>
      <c r="K19" s="42">
        <v>95</v>
      </c>
      <c r="L19" s="21"/>
      <c r="M19" s="21"/>
      <c r="N19" s="21"/>
    </row>
    <row r="20" spans="1:14" ht="21" customHeight="1" x14ac:dyDescent="0.2">
      <c r="A20" s="1"/>
      <c r="B20" s="12" t="s">
        <v>58</v>
      </c>
      <c r="C20" s="32"/>
      <c r="D20" s="21"/>
      <c r="E20" s="21"/>
      <c r="F20" s="32"/>
      <c r="G20" s="21"/>
      <c r="H20" s="32"/>
      <c r="I20" s="21"/>
      <c r="J20" s="32"/>
      <c r="K20" s="42">
        <v>35</v>
      </c>
      <c r="L20" s="21"/>
      <c r="M20" s="21"/>
      <c r="N20" s="21"/>
    </row>
    <row r="21" spans="1:14" ht="21" customHeight="1" x14ac:dyDescent="0.2">
      <c r="A21" s="1"/>
      <c r="B21" s="12" t="s">
        <v>59</v>
      </c>
      <c r="C21" s="32"/>
      <c r="D21" s="21"/>
      <c r="E21" s="21"/>
      <c r="F21" s="32"/>
      <c r="G21" s="21"/>
      <c r="H21" s="32"/>
      <c r="I21" s="21"/>
      <c r="J21" s="32"/>
      <c r="K21" s="42">
        <v>30</v>
      </c>
      <c r="L21" s="21"/>
      <c r="M21" s="21"/>
      <c r="N21" s="21"/>
    </row>
    <row r="22" spans="1:14" ht="21" customHeight="1" x14ac:dyDescent="0.2">
      <c r="A22" s="1"/>
      <c r="B22" s="12" t="s">
        <v>96</v>
      </c>
      <c r="C22" s="32"/>
      <c r="D22" s="21"/>
      <c r="E22" s="21"/>
      <c r="F22" s="32"/>
      <c r="G22" s="21"/>
      <c r="H22" s="32"/>
      <c r="I22" s="21"/>
      <c r="J22" s="32"/>
      <c r="K22" s="42">
        <v>300</v>
      </c>
      <c r="L22" s="21"/>
      <c r="M22" s="21"/>
      <c r="N22" s="21"/>
    </row>
    <row r="23" spans="1:14" ht="21" customHeight="1" x14ac:dyDescent="0.2">
      <c r="A23" s="1"/>
      <c r="B23" s="12"/>
      <c r="C23" s="32"/>
      <c r="D23" s="21"/>
      <c r="E23" s="21"/>
      <c r="F23" s="32"/>
      <c r="G23" s="21"/>
      <c r="H23" s="32"/>
      <c r="I23" s="21"/>
      <c r="J23" s="21"/>
      <c r="K23" s="21"/>
      <c r="L23" s="21"/>
      <c r="M23" s="21"/>
      <c r="N23" s="21"/>
    </row>
    <row r="24" spans="1:14" ht="21" customHeight="1" x14ac:dyDescent="0.2">
      <c r="A24" s="1"/>
      <c r="B24" s="15" t="s">
        <v>24</v>
      </c>
      <c r="C24" s="32"/>
      <c r="D24" s="21"/>
      <c r="E24" s="32"/>
      <c r="F24" s="32"/>
      <c r="G24" s="32"/>
      <c r="H24" s="32"/>
      <c r="I24" s="21"/>
      <c r="J24" s="21"/>
      <c r="K24" s="21"/>
      <c r="L24" s="21"/>
      <c r="M24" s="32"/>
      <c r="N24" s="21"/>
    </row>
    <row r="25" spans="1:14" ht="21" customHeight="1" x14ac:dyDescent="0.2">
      <c r="A25" s="1"/>
      <c r="B25" s="12" t="s">
        <v>62</v>
      </c>
      <c r="C25" s="32"/>
      <c r="D25" s="21"/>
      <c r="E25" s="32"/>
      <c r="F25" s="32"/>
      <c r="G25" s="32"/>
      <c r="H25" s="32"/>
      <c r="I25" s="21"/>
      <c r="J25" s="21"/>
      <c r="K25" s="42">
        <v>100</v>
      </c>
      <c r="L25" s="21"/>
      <c r="M25" s="32"/>
      <c r="N25" s="21"/>
    </row>
    <row r="26" spans="1:14" customFormat="1" ht="21" customHeight="1" x14ac:dyDescent="0.2">
      <c r="B26" s="12" t="s">
        <v>61</v>
      </c>
      <c r="C26" s="32"/>
      <c r="D26" s="21"/>
      <c r="E26" s="32"/>
      <c r="F26" s="32"/>
      <c r="G26" s="32"/>
      <c r="H26" s="32"/>
      <c r="I26" s="21"/>
      <c r="J26" s="21"/>
      <c r="K26" s="42">
        <v>100</v>
      </c>
      <c r="L26" s="21"/>
      <c r="M26" s="32"/>
      <c r="N26" s="21"/>
    </row>
    <row r="27" spans="1:14" ht="21" customHeight="1" x14ac:dyDescent="0.2">
      <c r="A27" s="1"/>
      <c r="B27" s="12" t="s">
        <v>93</v>
      </c>
      <c r="C27" s="32"/>
      <c r="D27" s="21"/>
      <c r="E27" s="32"/>
      <c r="F27" s="32"/>
      <c r="G27" s="32"/>
      <c r="H27" s="32"/>
      <c r="I27" s="21"/>
      <c r="J27" s="21"/>
      <c r="K27" s="42">
        <v>723</v>
      </c>
      <c r="L27" s="21"/>
      <c r="M27" s="32"/>
      <c r="N27" s="21"/>
    </row>
    <row r="28" spans="1:14" ht="21" customHeight="1" x14ac:dyDescent="0.2">
      <c r="B28" s="12"/>
      <c r="C28" s="32"/>
      <c r="D28" s="21"/>
      <c r="E28" s="32"/>
      <c r="F28" s="32"/>
      <c r="G28" s="32"/>
      <c r="H28" s="21"/>
      <c r="I28" s="21"/>
      <c r="J28" s="21"/>
      <c r="K28" s="21"/>
      <c r="L28" s="21"/>
      <c r="M28" s="32"/>
      <c r="N28" s="21"/>
    </row>
    <row r="29" spans="1:14" ht="21" customHeight="1" x14ac:dyDescent="0.2">
      <c r="B29" s="15" t="s">
        <v>27</v>
      </c>
      <c r="C29" s="32"/>
      <c r="D29" s="21"/>
      <c r="E29" s="32"/>
      <c r="F29" s="32"/>
      <c r="G29" s="32"/>
      <c r="H29" s="21"/>
      <c r="I29" s="21"/>
      <c r="J29" s="21"/>
      <c r="K29" s="21"/>
      <c r="L29" s="21"/>
      <c r="M29" s="32"/>
      <c r="N29" s="21"/>
    </row>
    <row r="30" spans="1:14" ht="21" customHeight="1" x14ac:dyDescent="0.2">
      <c r="B30" s="12" t="s">
        <v>65</v>
      </c>
      <c r="C30" s="21"/>
      <c r="D30" s="21"/>
      <c r="E30" s="21"/>
      <c r="F30" s="21"/>
      <c r="G30" s="21"/>
      <c r="H30" s="21"/>
      <c r="I30" s="21"/>
      <c r="J30" s="21"/>
      <c r="K30" s="42">
        <v>40</v>
      </c>
      <c r="L30" s="21"/>
      <c r="M30" s="21"/>
      <c r="N30" s="21"/>
    </row>
    <row r="31" spans="1:14" ht="21" customHeight="1" x14ac:dyDescent="0.2">
      <c r="B31" s="12" t="s">
        <v>63</v>
      </c>
      <c r="C31" s="21"/>
      <c r="D31" s="21"/>
      <c r="E31" s="21"/>
      <c r="F31" s="21"/>
      <c r="G31" s="21"/>
      <c r="H31" s="21"/>
      <c r="I31" s="21"/>
      <c r="J31" s="21"/>
      <c r="K31" s="42">
        <v>240</v>
      </c>
      <c r="L31" s="21"/>
      <c r="M31" s="21"/>
      <c r="N31" s="21"/>
    </row>
    <row r="32" spans="1:14" ht="21" customHeight="1" x14ac:dyDescent="0.2">
      <c r="B32" s="12" t="s">
        <v>94</v>
      </c>
      <c r="C32" s="21"/>
      <c r="D32" s="21"/>
      <c r="E32" s="21"/>
      <c r="F32" s="21"/>
      <c r="G32" s="21"/>
      <c r="H32" s="21"/>
      <c r="I32" s="21"/>
      <c r="J32" s="21"/>
      <c r="K32" s="42">
        <v>480</v>
      </c>
      <c r="L32" s="21"/>
      <c r="M32" s="21"/>
      <c r="N32" s="21"/>
    </row>
    <row r="33" spans="2:15" ht="21" customHeight="1" x14ac:dyDescent="0.2">
      <c r="B33" s="1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5" ht="21" customHeight="1" x14ac:dyDescent="0.2">
      <c r="B34" s="34" t="s">
        <v>16</v>
      </c>
      <c r="C34" s="36">
        <f>SUBTOTAL(109,tblDespesas691215211824273033363691215182124[JAN])</f>
        <v>0</v>
      </c>
      <c r="D34" s="36">
        <f>SUBTOTAL(109,tblDespesas691215211824273033363691215182124[FEV])</f>
        <v>0</v>
      </c>
      <c r="E34" s="36">
        <f>SUBTOTAL(109,tblDespesas691215211824273033363691215182124[MAR])</f>
        <v>0</v>
      </c>
      <c r="F34" s="36">
        <f>SUBTOTAL(109,tblDespesas691215211824273033363691215182124[ABR])</f>
        <v>0</v>
      </c>
      <c r="G34" s="36">
        <f>SUBTOTAL(109,tblDespesas691215211824273033363691215182124[MAI])</f>
        <v>0</v>
      </c>
      <c r="H34" s="36">
        <f>SUBTOTAL(109,tblDespesas691215211824273033363691215182124[JUN])</f>
        <v>0</v>
      </c>
      <c r="I34" s="36">
        <f>SUBTOTAL(109,tblDespesas691215211824273033363691215182124[JUL])</f>
        <v>0</v>
      </c>
      <c r="J34" s="36">
        <f>SUBTOTAL(109,tblDespesas691215211824273033363691215182124[AGO])</f>
        <v>0</v>
      </c>
      <c r="K34" s="36">
        <f>SUBTOTAL(109,tblDespesas691215211824273033363691215182124[SET])</f>
        <v>2533</v>
      </c>
      <c r="L34" s="36">
        <f>SUBTOTAL(109,tblDespesas691215211824273033363691215182124[OUT])</f>
        <v>0</v>
      </c>
      <c r="M34" s="36">
        <f>SUBTOTAL(109,tblDespesas691215211824273033363691215182124[NOV])</f>
        <v>0</v>
      </c>
      <c r="N34" s="36">
        <f>SUBTOTAL(109,tblDespesas691215211824273033363691215182124[DEZ])</f>
        <v>0</v>
      </c>
    </row>
    <row r="35" spans="2:15" ht="21" customHeight="1" x14ac:dyDescent="0.2">
      <c r="B35" s="1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5" ht="21" customHeight="1" x14ac:dyDescent="0.2">
      <c r="B36" s="31"/>
      <c r="C36" s="30"/>
    </row>
    <row r="37" spans="2:15" ht="21" customHeight="1" x14ac:dyDescent="0.2">
      <c r="B37" s="38"/>
    </row>
    <row r="38" spans="2:15" ht="21" customHeight="1" x14ac:dyDescent="0.2">
      <c r="B38" s="37"/>
    </row>
    <row r="39" spans="2:15" ht="21" customHeight="1" x14ac:dyDescent="0.2">
      <c r="B39" s="37"/>
      <c r="O39" s="19"/>
    </row>
    <row r="40" spans="2:15" ht="21" customHeight="1" x14ac:dyDescent="0.2">
      <c r="B40" s="37"/>
    </row>
    <row r="41" spans="2:15" ht="21" customHeight="1" x14ac:dyDescent="0.2">
      <c r="B41" s="29"/>
    </row>
    <row r="42" spans="2:15" ht="21" customHeight="1" x14ac:dyDescent="0.2">
      <c r="B42" s="33"/>
      <c r="C42" s="33"/>
      <c r="D42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0"/>
  <sheetViews>
    <sheetView showGridLines="0" topLeftCell="A16" zoomScale="90" zoomScaleNormal="90" workbookViewId="0">
      <selection activeCell="J24" sqref="J24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tblRenda58111420172326293235258111417202326[[#Totals],[JAN]]-tblDespesas69121521182427303336369121518212427[[#Totals],[JAN]]</f>
        <v>0</v>
      </c>
      <c r="D5" s="22">
        <f>tblRenda58111420172326293235258111417202326[[#Totals],[FEV]]-tblDespesas69121521182427303336369121518212427[[#Totals],[FEV]]</f>
        <v>0</v>
      </c>
      <c r="E5" s="22">
        <f>tblRenda58111420172326293235258111417202326[[#Totals],[MAR]]-tblDespesas69121521182427303336369121518212427[[#Totals],[MAR]]</f>
        <v>0</v>
      </c>
      <c r="F5" s="22">
        <f>tblRenda58111420172326293235258111417202326[[#Totals],[ABR]]-tblDespesas69121521182427303336369121518212427[[#Totals],[ABR]]</f>
        <v>0</v>
      </c>
      <c r="G5" s="22">
        <f>tblRenda58111420172326293235258111417202326[[#Totals],[MAI]]-tblDespesas69121521182427303336369121518212427[[#Totals],[MAI]]</f>
        <v>0</v>
      </c>
      <c r="H5" s="22">
        <f>tblRenda58111420172326293235258111417202326[[#Totals],[JUN]]-tblDespesas69121521182427303336369121518212427[[#Totals],[JUN]]</f>
        <v>0</v>
      </c>
      <c r="I5" s="22">
        <f>tblRenda58111420172326293235258111417202326[[#Totals],[JUL]]-tblDespesas69121521182427303336369121518212427[[#Totals],[JUL]]</f>
        <v>0</v>
      </c>
      <c r="J5" s="22">
        <f>tblRenda58111420172326293235258111417202326[[#Totals],[AGO]]-tblDespesas69121521182427303336369121518212427[[#Totals],[AGO]]</f>
        <v>0</v>
      </c>
      <c r="K5" s="22">
        <f>tblRenda58111420172326293235258111417202326[[#Totals],[SET]]-tblDespesas69121521182427303336369121518212427[[#Totals],[SET]]</f>
        <v>0</v>
      </c>
      <c r="L5" s="22">
        <f>tblRenda58111420172326293235258111417202326[[#Totals],[OUT]]-tblDespesas69121521182427303336369121518212427[[#Totals],[OUT]]</f>
        <v>27</v>
      </c>
      <c r="M5" s="22">
        <f>tblRenda58111420172326293235258111417202326[[#Totals],[NOV]]-tblDespesas69121521182427303336369121518212427[[#Totals],[NOV]]</f>
        <v>0</v>
      </c>
      <c r="N5" s="22">
        <f>tblRenda58111420172326293235258111417202326[[#Totals],[DEZ]]-tblDespesas69121521182427303336369121518212427[[#Totals],[DEZ]]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64</v>
      </c>
      <c r="C9" s="32"/>
      <c r="D9" s="21"/>
      <c r="E9" s="21"/>
      <c r="F9" s="32"/>
      <c r="G9" s="32"/>
      <c r="H9" s="32"/>
      <c r="I9" s="21"/>
      <c r="J9" s="32"/>
      <c r="K9" s="32"/>
      <c r="L9" s="42">
        <v>2000</v>
      </c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SUBTOTAL(109,tblRenda58111420172326293235258111417202326[JAN])</f>
        <v>0</v>
      </c>
      <c r="D13" s="35">
        <f>SUBTOTAL(109,tblRenda58111420172326293235258111417202326[FEV])</f>
        <v>0</v>
      </c>
      <c r="E13" s="35">
        <f>SUBTOTAL(109,tblRenda58111420172326293235258111417202326[MAR])</f>
        <v>0</v>
      </c>
      <c r="F13" s="35">
        <f>SUBTOTAL(109,tblRenda58111420172326293235258111417202326[ABR])</f>
        <v>0</v>
      </c>
      <c r="G13" s="35">
        <f>SUBTOTAL(109,tblRenda58111420172326293235258111417202326[MAI])</f>
        <v>0</v>
      </c>
      <c r="H13" s="35">
        <f>SUBTOTAL(109,tblRenda58111420172326293235258111417202326[JUN])</f>
        <v>0</v>
      </c>
      <c r="I13" s="35">
        <f>SUBTOTAL(109,tblRenda58111420172326293235258111417202326[JUL])</f>
        <v>0</v>
      </c>
      <c r="J13" s="35">
        <f>SUBTOTAL(109,tblRenda58111420172326293235258111417202326[AGO])</f>
        <v>0</v>
      </c>
      <c r="K13" s="35">
        <f>SUBTOTAL(109,tblRenda58111420172326293235258111417202326[SET])</f>
        <v>0</v>
      </c>
      <c r="L13" s="35">
        <f>SUBTOTAL(109,tblRenda58111420172326293235258111417202326[OUT])</f>
        <v>2000</v>
      </c>
      <c r="M13" s="35">
        <f>SUBTOTAL(109,tblRenda58111420172326293235258111417202326[NOV])</f>
        <v>0</v>
      </c>
      <c r="N13" s="35">
        <f>SUBTOTAL(109,tblRenda58111420172326293235258111417202326[DEZ])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4" ht="21" customHeight="1" x14ac:dyDescent="0.2">
      <c r="A17" s="1"/>
      <c r="B17" s="12" t="s">
        <v>57</v>
      </c>
      <c r="C17" s="32"/>
      <c r="D17" s="21"/>
      <c r="E17" s="21"/>
      <c r="F17" s="32"/>
      <c r="G17" s="21"/>
      <c r="H17" s="32"/>
      <c r="I17" s="21"/>
      <c r="J17" s="32"/>
      <c r="K17" s="32"/>
      <c r="L17" s="42">
        <v>170</v>
      </c>
      <c r="M17" s="21"/>
      <c r="N17" s="21"/>
    </row>
    <row r="18" spans="1:14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32"/>
      <c r="I18" s="21"/>
      <c r="J18" s="32"/>
      <c r="K18" s="32"/>
      <c r="L18" s="42">
        <v>220</v>
      </c>
      <c r="M18" s="21"/>
      <c r="N18" s="21"/>
    </row>
    <row r="19" spans="1:14" ht="21" customHeight="1" x14ac:dyDescent="0.2">
      <c r="A19" s="1"/>
      <c r="B19" s="12" t="s">
        <v>60</v>
      </c>
      <c r="C19" s="32"/>
      <c r="D19" s="21"/>
      <c r="E19" s="21"/>
      <c r="F19" s="32"/>
      <c r="G19" s="21"/>
      <c r="H19" s="32"/>
      <c r="I19" s="21"/>
      <c r="J19" s="32"/>
      <c r="K19" s="32"/>
      <c r="L19" s="42">
        <v>95</v>
      </c>
      <c r="M19" s="21"/>
      <c r="N19" s="21"/>
    </row>
    <row r="20" spans="1:14" ht="21" customHeight="1" x14ac:dyDescent="0.2">
      <c r="A20" s="1"/>
      <c r="B20" s="12" t="s">
        <v>58</v>
      </c>
      <c r="C20" s="32"/>
      <c r="D20" s="21"/>
      <c r="E20" s="21"/>
      <c r="F20" s="32"/>
      <c r="G20" s="21"/>
      <c r="H20" s="32"/>
      <c r="I20" s="21"/>
      <c r="J20" s="32"/>
      <c r="K20" s="32"/>
      <c r="L20" s="42">
        <v>35</v>
      </c>
      <c r="M20" s="21"/>
      <c r="N20" s="21"/>
    </row>
    <row r="21" spans="1:14" ht="21" customHeight="1" x14ac:dyDescent="0.2">
      <c r="A21" s="1"/>
      <c r="B21" s="12" t="s">
        <v>59</v>
      </c>
      <c r="C21" s="32"/>
      <c r="D21" s="21"/>
      <c r="E21" s="21"/>
      <c r="F21" s="32"/>
      <c r="G21" s="21"/>
      <c r="H21" s="32"/>
      <c r="I21" s="21"/>
      <c r="J21" s="32"/>
      <c r="K21" s="32"/>
      <c r="L21" s="42">
        <v>30</v>
      </c>
      <c r="M21" s="21"/>
      <c r="N21" s="21"/>
    </row>
    <row r="22" spans="1:14" ht="21" customHeight="1" x14ac:dyDescent="0.2">
      <c r="A22" s="1"/>
      <c r="B22" s="12" t="s">
        <v>96</v>
      </c>
      <c r="C22" s="32"/>
      <c r="D22" s="21"/>
      <c r="E22" s="21"/>
      <c r="F22" s="32"/>
      <c r="G22" s="21"/>
      <c r="H22" s="32"/>
      <c r="I22" s="21"/>
      <c r="J22" s="32"/>
      <c r="K22" s="32"/>
      <c r="L22" s="42">
        <v>300</v>
      </c>
      <c r="M22" s="21"/>
      <c r="N22" s="21"/>
    </row>
    <row r="23" spans="1:14" ht="21" customHeight="1" x14ac:dyDescent="0.2">
      <c r="A23" s="1"/>
      <c r="B23" s="12" t="s">
        <v>66</v>
      </c>
      <c r="C23" s="32"/>
      <c r="D23" s="21"/>
      <c r="E23" s="21"/>
      <c r="F23" s="32"/>
      <c r="G23" s="21"/>
      <c r="H23" s="32"/>
      <c r="I23" s="21"/>
      <c r="J23" s="32"/>
      <c r="K23" s="32"/>
      <c r="L23" s="42">
        <v>200</v>
      </c>
      <c r="M23" s="21"/>
      <c r="N23" s="21"/>
    </row>
    <row r="24" spans="1:14" ht="21" customHeight="1" x14ac:dyDescent="0.2">
      <c r="A24" s="1"/>
      <c r="B24" s="12"/>
      <c r="C24" s="32"/>
      <c r="D24" s="21"/>
      <c r="E24" s="21"/>
      <c r="F24" s="32"/>
      <c r="G24" s="21"/>
      <c r="H24" s="32"/>
      <c r="I24" s="21"/>
      <c r="J24" s="21"/>
      <c r="K24" s="21"/>
      <c r="L24" s="21"/>
      <c r="M24" s="21"/>
      <c r="N24" s="21"/>
    </row>
    <row r="25" spans="1:14" ht="21" customHeight="1" x14ac:dyDescent="0.2">
      <c r="A25" s="1"/>
      <c r="B25" s="15" t="s">
        <v>24</v>
      </c>
      <c r="C25" s="32"/>
      <c r="D25" s="21"/>
      <c r="E25" s="32"/>
      <c r="F25" s="32"/>
      <c r="G25" s="32"/>
      <c r="H25" s="32"/>
      <c r="I25" s="21"/>
      <c r="J25" s="21"/>
      <c r="K25" s="21"/>
      <c r="L25" s="21"/>
      <c r="M25" s="32"/>
      <c r="N25" s="21"/>
    </row>
    <row r="26" spans="1:14" customFormat="1" ht="21" customHeight="1" x14ac:dyDescent="0.2">
      <c r="B26" s="12" t="s">
        <v>67</v>
      </c>
      <c r="C26" s="32"/>
      <c r="D26" s="21"/>
      <c r="E26" s="32"/>
      <c r="F26" s="32"/>
      <c r="G26" s="32"/>
      <c r="H26" s="32"/>
      <c r="I26" s="21"/>
      <c r="J26" s="21"/>
      <c r="K26" s="32"/>
      <c r="L26" s="42">
        <v>100</v>
      </c>
      <c r="M26" s="32"/>
      <c r="N26" s="21"/>
    </row>
    <row r="27" spans="1:14" ht="21" customHeight="1" x14ac:dyDescent="0.2">
      <c r="A27" s="1"/>
      <c r="B27" s="12" t="s">
        <v>68</v>
      </c>
      <c r="C27" s="32"/>
      <c r="D27" s="21"/>
      <c r="E27" s="32"/>
      <c r="F27" s="32"/>
      <c r="G27" s="32"/>
      <c r="H27" s="32"/>
      <c r="I27" s="21"/>
      <c r="J27" s="21"/>
      <c r="K27" s="32"/>
      <c r="L27" s="42">
        <v>100</v>
      </c>
      <c r="M27" s="32"/>
      <c r="N27" s="21"/>
    </row>
    <row r="28" spans="1:14" ht="21" customHeight="1" x14ac:dyDescent="0.2">
      <c r="B28" s="12" t="s">
        <v>89</v>
      </c>
      <c r="C28" s="32"/>
      <c r="D28" s="21"/>
      <c r="E28" s="32"/>
      <c r="F28" s="32"/>
      <c r="G28" s="32"/>
      <c r="H28" s="32"/>
      <c r="I28" s="21"/>
      <c r="J28" s="21"/>
      <c r="K28" s="32"/>
      <c r="L28" s="42">
        <v>723</v>
      </c>
      <c r="M28" s="32"/>
      <c r="N28" s="21"/>
    </row>
    <row r="29" spans="1:14" ht="21" customHeight="1" x14ac:dyDescent="0.2">
      <c r="B29" s="12"/>
      <c r="C29" s="32"/>
      <c r="D29" s="21"/>
      <c r="E29" s="32"/>
      <c r="F29" s="32"/>
      <c r="G29" s="32"/>
      <c r="H29" s="21"/>
      <c r="I29" s="21"/>
      <c r="J29" s="21"/>
      <c r="K29" s="21"/>
      <c r="L29" s="21"/>
      <c r="M29" s="32"/>
      <c r="N29" s="21"/>
    </row>
    <row r="30" spans="1:14" ht="21" customHeight="1" x14ac:dyDescent="0.2">
      <c r="B30" s="15" t="s">
        <v>27</v>
      </c>
      <c r="C30" s="32"/>
      <c r="D30" s="21"/>
      <c r="E30" s="32"/>
      <c r="F30" s="32"/>
      <c r="G30" s="32"/>
      <c r="H30" s="21"/>
      <c r="I30" s="21"/>
      <c r="J30" s="21"/>
      <c r="K30" s="21"/>
      <c r="L30" s="21"/>
      <c r="M30" s="32"/>
      <c r="N30" s="21"/>
    </row>
    <row r="31" spans="1:14" ht="21" customHeight="1" x14ac:dyDescent="0.2">
      <c r="B31" s="1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21" customHeight="1" x14ac:dyDescent="0.2">
      <c r="B32" s="34" t="s">
        <v>16</v>
      </c>
      <c r="C32" s="36">
        <f>SUBTOTAL(109,tblDespesas69121521182427303336369121518212427[JAN])</f>
        <v>0</v>
      </c>
      <c r="D32" s="36">
        <f>SUBTOTAL(109,tblDespesas69121521182427303336369121518212427[FEV])</f>
        <v>0</v>
      </c>
      <c r="E32" s="36">
        <f>SUBTOTAL(109,tblDespesas69121521182427303336369121518212427[MAR])</f>
        <v>0</v>
      </c>
      <c r="F32" s="36">
        <f>SUBTOTAL(109,tblDespesas69121521182427303336369121518212427[ABR])</f>
        <v>0</v>
      </c>
      <c r="G32" s="36">
        <f>SUBTOTAL(109,tblDespesas69121521182427303336369121518212427[MAI])</f>
        <v>0</v>
      </c>
      <c r="H32" s="36">
        <f>SUBTOTAL(109,tblDespesas69121521182427303336369121518212427[JUN])</f>
        <v>0</v>
      </c>
      <c r="I32" s="36">
        <f>SUBTOTAL(109,tblDespesas69121521182427303336369121518212427[JUL])</f>
        <v>0</v>
      </c>
      <c r="J32" s="36">
        <f>SUBTOTAL(109,tblDespesas69121521182427303336369121518212427[AGO])</f>
        <v>0</v>
      </c>
      <c r="K32" s="36">
        <f>SUBTOTAL(109,tblDespesas69121521182427303336369121518212427[SET])</f>
        <v>0</v>
      </c>
      <c r="L32" s="36">
        <f>SUBTOTAL(109,tblDespesas69121521182427303336369121518212427[OUT])</f>
        <v>1973</v>
      </c>
      <c r="M32" s="36">
        <f>SUBTOTAL(109,tblDespesas69121521182427303336369121518212427[NOV])</f>
        <v>0</v>
      </c>
      <c r="N32" s="36">
        <f>SUBTOTAL(109,tblDespesas69121521182427303336369121518212427[DEZ])</f>
        <v>0</v>
      </c>
    </row>
    <row r="33" spans="2:15" ht="21" customHeight="1" x14ac:dyDescent="0.2">
      <c r="B33" s="1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5" ht="21" customHeight="1" x14ac:dyDescent="0.2">
      <c r="B34" s="31"/>
      <c r="C34" s="30"/>
    </row>
    <row r="35" spans="2:15" ht="21" customHeight="1" x14ac:dyDescent="0.2">
      <c r="B35" s="38"/>
    </row>
    <row r="36" spans="2:15" ht="21" customHeight="1" x14ac:dyDescent="0.2">
      <c r="B36" s="37"/>
    </row>
    <row r="37" spans="2:15" ht="21" customHeight="1" x14ac:dyDescent="0.2">
      <c r="B37" s="37"/>
    </row>
    <row r="38" spans="2:15" ht="21" customHeight="1" x14ac:dyDescent="0.2">
      <c r="B38" s="37"/>
    </row>
    <row r="39" spans="2:15" ht="21" customHeight="1" x14ac:dyDescent="0.2">
      <c r="B39" s="29"/>
      <c r="O39" s="19"/>
    </row>
    <row r="40" spans="2:15" ht="21" customHeight="1" x14ac:dyDescent="0.2">
      <c r="B40" s="33"/>
      <c r="C40" s="33"/>
      <c r="D40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3"/>
  <sheetViews>
    <sheetView showGridLines="0" topLeftCell="A7" zoomScale="90" zoomScaleNormal="90" workbookViewId="0">
      <selection activeCell="M22" sqref="M22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4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tblRenda5811142017232629323525811141720232629[[#Totals],[JAN]]-tblDespesas6912152118242730333636912151821242730[[#Totals],[JAN]]</f>
        <v>0</v>
      </c>
      <c r="D5" s="22">
        <f>tblRenda5811142017232629323525811141720232629[[#Totals],[FEV]]-tblDespesas6912152118242730333636912151821242730[[#Totals],[FEV]]</f>
        <v>0</v>
      </c>
      <c r="E5" s="22">
        <f>tblRenda5811142017232629323525811141720232629[[#Totals],[MAR]]-tblDespesas6912152118242730333636912151821242730[[#Totals],[MAR]]</f>
        <v>0</v>
      </c>
      <c r="F5" s="22">
        <f>tblRenda5811142017232629323525811141720232629[[#Totals],[ABR]]-tblDespesas6912152118242730333636912151821242730[[#Totals],[ABR]]</f>
        <v>0</v>
      </c>
      <c r="G5" s="22">
        <f>tblRenda5811142017232629323525811141720232629[[#Totals],[MAI]]-tblDespesas6912152118242730333636912151821242730[[#Totals],[MAI]]</f>
        <v>0</v>
      </c>
      <c r="H5" s="22">
        <f>tblRenda5811142017232629323525811141720232629[[#Totals],[JUN]]-tblDespesas6912152118242730333636912151821242730[[#Totals],[JUN]]</f>
        <v>0</v>
      </c>
      <c r="I5" s="22">
        <f>tblRenda5811142017232629323525811141720232629[[#Totals],[JUL]]-tblDespesas6912152118242730333636912151821242730[[#Totals],[JUL]]</f>
        <v>0</v>
      </c>
      <c r="J5" s="22">
        <f>tblRenda5811142017232629323525811141720232629[[#Totals],[AGO]]-tblDespesas6912152118242730333636912151821242730[[#Totals],[AGO]]</f>
        <v>0</v>
      </c>
      <c r="K5" s="22">
        <f>tblRenda5811142017232629323525811141720232629[[#Totals],[SET]]-tblDespesas6912152118242730333636912151821242730[[#Totals],[SET]]</f>
        <v>0</v>
      </c>
      <c r="L5" s="22">
        <f>tblRenda5811142017232629323525811141720232629[[#Totals],[OUT]]-tblDespesas6912152118242730333636912151821242730[[#Totals],[OUT]]</f>
        <v>0</v>
      </c>
      <c r="M5" s="22">
        <f>tblRenda5811142017232629323525811141720232629[[#Totals],[NOV]]-tblDespesas6912152118242730333636912151821242730[[#Totals],[NOV]]</f>
        <v>-337</v>
      </c>
      <c r="N5" s="22">
        <f>tblRenda5811142017232629323525811141720232629[[#Totals],[DEZ]]-tblDespesas6912152118242730333636912151821242730[[#Totals],[DEZ]]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64</v>
      </c>
      <c r="C9" s="32"/>
      <c r="D9" s="21"/>
      <c r="E9" s="21"/>
      <c r="F9" s="32"/>
      <c r="G9" s="32"/>
      <c r="H9" s="32"/>
      <c r="I9" s="21"/>
      <c r="J9" s="32"/>
      <c r="K9" s="32"/>
      <c r="L9" s="32"/>
      <c r="M9" s="42">
        <v>2000</v>
      </c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SUBTOTAL(109,tblRenda5811142017232629323525811141720232629[JAN])</f>
        <v>0</v>
      </c>
      <c r="D13" s="35">
        <f>SUBTOTAL(109,tblRenda5811142017232629323525811141720232629[FEV])</f>
        <v>0</v>
      </c>
      <c r="E13" s="35">
        <f>SUBTOTAL(109,tblRenda5811142017232629323525811141720232629[MAR])</f>
        <v>0</v>
      </c>
      <c r="F13" s="35">
        <f>SUBTOTAL(109,tblRenda5811142017232629323525811141720232629[ABR])</f>
        <v>0</v>
      </c>
      <c r="G13" s="35">
        <f>SUBTOTAL(109,tblRenda5811142017232629323525811141720232629[MAI])</f>
        <v>0</v>
      </c>
      <c r="H13" s="35">
        <f>SUBTOTAL(109,tblRenda5811142017232629323525811141720232629[JUN])</f>
        <v>0</v>
      </c>
      <c r="I13" s="35">
        <f>SUBTOTAL(109,tblRenda5811142017232629323525811141720232629[JUL])</f>
        <v>0</v>
      </c>
      <c r="J13" s="35">
        <f>SUBTOTAL(109,tblRenda5811142017232629323525811141720232629[AGO])</f>
        <v>0</v>
      </c>
      <c r="K13" s="35">
        <f>SUBTOTAL(109,tblRenda5811142017232629323525811141720232629[SET])</f>
        <v>0</v>
      </c>
      <c r="L13" s="35">
        <f>SUBTOTAL(109,tblRenda5811142017232629323525811141720232629[OUT])</f>
        <v>0</v>
      </c>
      <c r="M13" s="35">
        <f>SUBTOTAL(109,tblRenda5811142017232629323525811141720232629[NOV])</f>
        <v>2000</v>
      </c>
      <c r="N13" s="35">
        <f>SUBTOTAL(109,tblRenda5811142017232629323525811141720232629[DEZ])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4" ht="21" customHeight="1" x14ac:dyDescent="0.2">
      <c r="A17" s="1"/>
      <c r="B17" s="12" t="s">
        <v>57</v>
      </c>
      <c r="C17" s="32"/>
      <c r="D17" s="21"/>
      <c r="E17" s="21"/>
      <c r="F17" s="32"/>
      <c r="G17" s="21"/>
      <c r="H17" s="32"/>
      <c r="I17" s="21"/>
      <c r="J17" s="32"/>
      <c r="K17" s="32"/>
      <c r="L17" s="32"/>
      <c r="M17" s="42">
        <v>190</v>
      </c>
      <c r="N17" s="21"/>
    </row>
    <row r="18" spans="1:14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32"/>
      <c r="I18" s="21"/>
      <c r="J18" s="32"/>
      <c r="K18" s="32"/>
      <c r="L18" s="32"/>
      <c r="M18" s="42">
        <v>220</v>
      </c>
      <c r="N18" s="21"/>
    </row>
    <row r="19" spans="1:14" ht="21" customHeight="1" x14ac:dyDescent="0.2">
      <c r="A19" s="1"/>
      <c r="B19" s="12" t="s">
        <v>73</v>
      </c>
      <c r="C19" s="32"/>
      <c r="D19" s="21"/>
      <c r="E19" s="21"/>
      <c r="F19" s="32"/>
      <c r="G19" s="21"/>
      <c r="H19" s="32"/>
      <c r="I19" s="21"/>
      <c r="J19" s="32"/>
      <c r="K19" s="32"/>
      <c r="L19" s="32"/>
      <c r="M19" s="42">
        <v>99</v>
      </c>
      <c r="N19" s="21"/>
    </row>
    <row r="20" spans="1:14" ht="21" customHeight="1" x14ac:dyDescent="0.2">
      <c r="A20" s="1"/>
      <c r="B20" s="12" t="s">
        <v>74</v>
      </c>
      <c r="C20" s="32"/>
      <c r="D20" s="21"/>
      <c r="E20" s="21"/>
      <c r="F20" s="32"/>
      <c r="G20" s="21"/>
      <c r="H20" s="32"/>
      <c r="I20" s="21"/>
      <c r="J20" s="32"/>
      <c r="K20" s="32"/>
      <c r="L20" s="32"/>
      <c r="M20" s="42">
        <v>33</v>
      </c>
      <c r="N20" s="21"/>
    </row>
    <row r="21" spans="1:14" ht="21" customHeight="1" x14ac:dyDescent="0.2">
      <c r="A21" s="1"/>
      <c r="B21" s="12" t="s">
        <v>91</v>
      </c>
      <c r="C21" s="32"/>
      <c r="D21" s="21"/>
      <c r="E21" s="21"/>
      <c r="F21" s="32"/>
      <c r="G21" s="21"/>
      <c r="H21" s="32"/>
      <c r="I21" s="21"/>
      <c r="J21" s="32"/>
      <c r="K21" s="32"/>
      <c r="L21" s="32"/>
      <c r="M21" s="42">
        <v>75</v>
      </c>
      <c r="N21" s="21"/>
    </row>
    <row r="22" spans="1:14" ht="21" customHeight="1" x14ac:dyDescent="0.2">
      <c r="A22" s="1"/>
      <c r="B22" s="12" t="s">
        <v>92</v>
      </c>
      <c r="C22" s="32"/>
      <c r="D22" s="21"/>
      <c r="E22" s="21"/>
      <c r="F22" s="32"/>
      <c r="G22" s="21"/>
      <c r="H22" s="32"/>
      <c r="I22" s="21"/>
      <c r="J22" s="32"/>
      <c r="K22" s="32"/>
      <c r="L22" s="32"/>
      <c r="M22" s="42">
        <v>25</v>
      </c>
      <c r="N22" s="21"/>
    </row>
    <row r="23" spans="1:14" ht="21" customHeight="1" x14ac:dyDescent="0.2">
      <c r="A23" s="1"/>
      <c r="B23" s="12" t="s">
        <v>96</v>
      </c>
      <c r="C23" s="32"/>
      <c r="D23" s="21"/>
      <c r="E23" s="21"/>
      <c r="F23" s="32"/>
      <c r="G23" s="21"/>
      <c r="H23" s="32"/>
      <c r="I23" s="21"/>
      <c r="J23" s="32"/>
      <c r="K23" s="32"/>
      <c r="L23" s="32"/>
      <c r="M23" s="42">
        <v>300</v>
      </c>
      <c r="N23" s="21"/>
    </row>
    <row r="24" spans="1:14" ht="21" customHeight="1" x14ac:dyDescent="0.2">
      <c r="A24" s="1"/>
      <c r="B24" s="12" t="s">
        <v>66</v>
      </c>
      <c r="C24" s="32"/>
      <c r="D24" s="21"/>
      <c r="E24" s="21"/>
      <c r="F24" s="32"/>
      <c r="G24" s="21"/>
      <c r="H24" s="32"/>
      <c r="I24" s="21"/>
      <c r="J24" s="32"/>
      <c r="K24" s="32"/>
      <c r="L24" s="32"/>
      <c r="M24" s="42">
        <v>200</v>
      </c>
      <c r="N24" s="21"/>
    </row>
    <row r="25" spans="1:14" ht="21" customHeight="1" x14ac:dyDescent="0.2">
      <c r="A25" s="1"/>
      <c r="B25" s="12"/>
      <c r="C25" s="32"/>
      <c r="D25" s="21"/>
      <c r="E25" s="21"/>
      <c r="F25" s="32"/>
      <c r="G25" s="21"/>
      <c r="H25" s="32"/>
      <c r="I25" s="21"/>
      <c r="J25" s="21"/>
      <c r="K25" s="21"/>
      <c r="L25" s="32"/>
      <c r="M25" s="21"/>
      <c r="N25" s="21"/>
    </row>
    <row r="26" spans="1:14" customFormat="1" ht="21" customHeight="1" x14ac:dyDescent="0.2">
      <c r="B26" s="15" t="s">
        <v>24</v>
      </c>
      <c r="C26" s="32"/>
      <c r="D26" s="21"/>
      <c r="E26" s="32"/>
      <c r="F26" s="32"/>
      <c r="G26" s="32"/>
      <c r="H26" s="32"/>
      <c r="I26" s="21"/>
      <c r="J26" s="21"/>
      <c r="K26" s="21"/>
      <c r="L26" s="32"/>
      <c r="M26" s="32"/>
      <c r="N26" s="21"/>
    </row>
    <row r="27" spans="1:14" ht="21" customHeight="1" x14ac:dyDescent="0.2">
      <c r="A27" s="1"/>
      <c r="B27" s="12" t="s">
        <v>69</v>
      </c>
      <c r="C27" s="32"/>
      <c r="D27" s="21"/>
      <c r="E27" s="32"/>
      <c r="F27" s="32"/>
      <c r="G27" s="32"/>
      <c r="H27" s="32"/>
      <c r="I27" s="21"/>
      <c r="J27" s="21"/>
      <c r="K27" s="32"/>
      <c r="L27" s="32"/>
      <c r="M27" s="42">
        <v>100</v>
      </c>
      <c r="N27" s="21"/>
    </row>
    <row r="28" spans="1:14" ht="21" customHeight="1" x14ac:dyDescent="0.2">
      <c r="B28" s="12" t="s">
        <v>70</v>
      </c>
      <c r="C28" s="32"/>
      <c r="D28" s="21"/>
      <c r="E28" s="32"/>
      <c r="F28" s="32"/>
      <c r="G28" s="32"/>
      <c r="H28" s="32"/>
      <c r="I28" s="21"/>
      <c r="J28" s="21"/>
      <c r="K28" s="32"/>
      <c r="L28" s="32"/>
      <c r="M28" s="42">
        <v>100</v>
      </c>
      <c r="N28" s="21"/>
    </row>
    <row r="29" spans="1:14" ht="21" customHeight="1" x14ac:dyDescent="0.2">
      <c r="B29" s="12" t="s">
        <v>90</v>
      </c>
      <c r="C29" s="32"/>
      <c r="D29" s="21"/>
      <c r="E29" s="32"/>
      <c r="F29" s="32"/>
      <c r="G29" s="32"/>
      <c r="H29" s="32"/>
      <c r="I29" s="21"/>
      <c r="J29" s="21"/>
      <c r="K29" s="32"/>
      <c r="L29" s="32"/>
      <c r="M29" s="42">
        <v>723</v>
      </c>
      <c r="N29" s="21"/>
    </row>
    <row r="30" spans="1:14" ht="21" customHeight="1" x14ac:dyDescent="0.2">
      <c r="B30" s="12"/>
      <c r="C30" s="32"/>
      <c r="D30" s="21"/>
      <c r="E30" s="32"/>
      <c r="F30" s="32"/>
      <c r="G30" s="32"/>
      <c r="H30" s="21"/>
      <c r="I30" s="21"/>
      <c r="J30" s="21"/>
      <c r="K30" s="21"/>
      <c r="L30" s="32"/>
      <c r="M30" s="32"/>
      <c r="N30" s="21"/>
    </row>
    <row r="31" spans="1:14" ht="21" customHeight="1" x14ac:dyDescent="0.2">
      <c r="B31" s="15" t="s">
        <v>27</v>
      </c>
      <c r="C31" s="32"/>
      <c r="D31" s="21"/>
      <c r="E31" s="32"/>
      <c r="F31" s="32"/>
      <c r="G31" s="32"/>
      <c r="H31" s="21"/>
      <c r="I31" s="21"/>
      <c r="J31" s="21"/>
      <c r="K31" s="21"/>
      <c r="L31" s="21"/>
      <c r="M31" s="32"/>
      <c r="N31" s="21"/>
    </row>
    <row r="32" spans="1:14" ht="21" customHeight="1" x14ac:dyDescent="0.2">
      <c r="B32" s="12" t="s">
        <v>71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42">
        <v>236</v>
      </c>
      <c r="N32" s="21"/>
    </row>
    <row r="33" spans="2:15" ht="21" customHeight="1" x14ac:dyDescent="0.2">
      <c r="B33" s="12" t="s">
        <v>72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42">
        <v>36</v>
      </c>
      <c r="N33" s="21"/>
    </row>
    <row r="34" spans="2:15" ht="21" customHeight="1" x14ac:dyDescent="0.2">
      <c r="B34" s="1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5" ht="21" customHeight="1" x14ac:dyDescent="0.2">
      <c r="B35" s="34" t="s">
        <v>16</v>
      </c>
      <c r="C35" s="36">
        <f>SUBTOTAL(109,tblDespesas6912152118242730333636912151821242730[JAN])</f>
        <v>0</v>
      </c>
      <c r="D35" s="36">
        <f>SUBTOTAL(109,tblDespesas6912152118242730333636912151821242730[FEV])</f>
        <v>0</v>
      </c>
      <c r="E35" s="36">
        <f>SUBTOTAL(109,tblDespesas6912152118242730333636912151821242730[MAR])</f>
        <v>0</v>
      </c>
      <c r="F35" s="36">
        <f>SUBTOTAL(109,tblDespesas6912152118242730333636912151821242730[ABR])</f>
        <v>0</v>
      </c>
      <c r="G35" s="36">
        <f>SUBTOTAL(109,tblDespesas6912152118242730333636912151821242730[MAI])</f>
        <v>0</v>
      </c>
      <c r="H35" s="36">
        <f>SUBTOTAL(109,tblDespesas6912152118242730333636912151821242730[JUN])</f>
        <v>0</v>
      </c>
      <c r="I35" s="36">
        <f>SUBTOTAL(109,tblDespesas6912152118242730333636912151821242730[JUL])</f>
        <v>0</v>
      </c>
      <c r="J35" s="36">
        <f>SUBTOTAL(109,tblDespesas6912152118242730333636912151821242730[AGO])</f>
        <v>0</v>
      </c>
      <c r="K35" s="36">
        <f>SUBTOTAL(109,tblDespesas6912152118242730333636912151821242730[SET])</f>
        <v>0</v>
      </c>
      <c r="L35" s="36">
        <f>SUBTOTAL(109,tblDespesas6912152118242730333636912151821242730[OUT])</f>
        <v>0</v>
      </c>
      <c r="M35" s="36">
        <f>SUBTOTAL(109,tblDespesas6912152118242730333636912151821242730[NOV])</f>
        <v>2337</v>
      </c>
      <c r="N35" s="36">
        <f>SUBTOTAL(109,tblDespesas6912152118242730333636912151821242730[DEZ])</f>
        <v>0</v>
      </c>
    </row>
    <row r="36" spans="2:15" ht="21" customHeight="1" x14ac:dyDescent="0.2">
      <c r="B36" s="1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5" ht="21" customHeight="1" x14ac:dyDescent="0.2">
      <c r="B37" s="31"/>
      <c r="C37" s="30"/>
    </row>
    <row r="38" spans="2:15" ht="21" customHeight="1" x14ac:dyDescent="0.2">
      <c r="B38" s="38"/>
    </row>
    <row r="39" spans="2:15" ht="21" customHeight="1" x14ac:dyDescent="0.2">
      <c r="B39" s="37"/>
      <c r="O39" s="19"/>
    </row>
    <row r="40" spans="2:15" ht="21" customHeight="1" x14ac:dyDescent="0.2">
      <c r="B40" s="37"/>
    </row>
    <row r="41" spans="2:15" ht="21" customHeight="1" x14ac:dyDescent="0.2">
      <c r="B41" s="37"/>
    </row>
    <row r="42" spans="2:15" ht="21" customHeight="1" x14ac:dyDescent="0.2">
      <c r="B42" s="29"/>
    </row>
    <row r="43" spans="2:15" ht="21" customHeight="1" x14ac:dyDescent="0.2">
      <c r="B43" s="33"/>
      <c r="C43" s="33"/>
      <c r="D43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autoPageBreaks="0" fitToPage="1"/>
  </sheetPr>
  <dimension ref="A1:P41"/>
  <sheetViews>
    <sheetView showGridLines="0" topLeftCell="A31" zoomScale="90" zoomScaleNormal="90" workbookViewId="0">
      <selection activeCell="K11" sqref="K11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51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tblRenda581114201723262932352581114172023262938[[#Totals],[JAN]]-tblDespesas691215211824273033363691215182124273039[[#Totals],[JAN]]</f>
        <v>0</v>
      </c>
      <c r="D5" s="22">
        <f>tblRenda581114201723262932352581114172023262938[[#Totals],[FEV]]-tblDespesas691215211824273033363691215182124273039[[#Totals],[FEV]]</f>
        <v>0</v>
      </c>
      <c r="E5" s="22">
        <f>tblRenda581114201723262932352581114172023262938[[#Totals],[MAR]]-tblDespesas691215211824273033363691215182124273039[[#Totals],[MAR]]</f>
        <v>0</v>
      </c>
      <c r="F5" s="22">
        <f>tblRenda581114201723262932352581114172023262938[[#Totals],[ABR]]-tblDespesas691215211824273033363691215182124273039[[#Totals],[ABR]]</f>
        <v>0</v>
      </c>
      <c r="G5" s="22">
        <f>tblRenda581114201723262932352581114172023262938[[#Totals],[MAI]]-tblDespesas691215211824273033363691215182124273039[[#Totals],[MAI]]</f>
        <v>0</v>
      </c>
      <c r="H5" s="22">
        <f>tblRenda581114201723262932352581114172023262938[[#Totals],[JUN]]-tblDespesas691215211824273033363691215182124273039[[#Totals],[JUN]]</f>
        <v>0</v>
      </c>
      <c r="I5" s="22">
        <f>tblRenda581114201723262932352581114172023262938[[#Totals],[JUL]]-tblDespesas691215211824273033363691215182124273039[[#Totals],[JUL]]</f>
        <v>0</v>
      </c>
      <c r="J5" s="22">
        <f>tblRenda581114201723262932352581114172023262938[[#Totals],[AGO]]-tblDespesas691215211824273033363691215182124273039[[#Totals],[AGO]]</f>
        <v>0</v>
      </c>
      <c r="K5" s="22">
        <f>tblRenda581114201723262932352581114172023262938[[#Totals],[SET]]-tblDespesas691215211824273033363691215182124273039[[#Totals],[SET]]</f>
        <v>0</v>
      </c>
      <c r="L5" s="22">
        <f>tblRenda581114201723262932352581114172023262938[[#Totals],[OUT]]-tblDespesas691215211824273033363691215182124273039[[#Totals],[OUT]]</f>
        <v>0</v>
      </c>
      <c r="M5" s="22">
        <f>tblRenda581114201723262932352581114172023262938[[#Totals],[NOV]]-tblDespesas691215211824273033363691215182124273039[[#Totals],[NOV]]</f>
        <v>0</v>
      </c>
      <c r="N5" s="22">
        <f>tblRenda581114201723262932352581114172023262938[[#Totals],[DEZ]]-tblDespesas691215211824273033363691215182124273039[[#Totals],[DEZ]]</f>
        <v>603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64</v>
      </c>
      <c r="C9" s="32"/>
      <c r="D9" s="21"/>
      <c r="E9" s="21"/>
      <c r="F9" s="32"/>
      <c r="G9" s="32"/>
      <c r="H9" s="32"/>
      <c r="I9" s="21"/>
      <c r="J9" s="32"/>
      <c r="K9" s="32"/>
      <c r="L9" s="32"/>
      <c r="M9" s="32"/>
      <c r="N9" s="42">
        <v>2000</v>
      </c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SUBTOTAL(109,tblRenda581114201723262932352581114172023262938[JAN])</f>
        <v>0</v>
      </c>
      <c r="D13" s="35">
        <f>SUBTOTAL(109,tblRenda581114201723262932352581114172023262938[FEV])</f>
        <v>0</v>
      </c>
      <c r="E13" s="35">
        <f>SUBTOTAL(109,tblRenda581114201723262932352581114172023262938[MAR])</f>
        <v>0</v>
      </c>
      <c r="F13" s="35">
        <f>SUBTOTAL(109,tblRenda581114201723262932352581114172023262938[ABR])</f>
        <v>0</v>
      </c>
      <c r="G13" s="35">
        <f>SUBTOTAL(109,tblRenda581114201723262932352581114172023262938[MAI])</f>
        <v>0</v>
      </c>
      <c r="H13" s="35">
        <f>SUBTOTAL(109,tblRenda581114201723262932352581114172023262938[JUN])</f>
        <v>0</v>
      </c>
      <c r="I13" s="35">
        <f>SUBTOTAL(109,tblRenda581114201723262932352581114172023262938[JUL])</f>
        <v>0</v>
      </c>
      <c r="J13" s="35">
        <f>SUBTOTAL(109,tblRenda581114201723262932352581114172023262938[AGO])</f>
        <v>0</v>
      </c>
      <c r="K13" s="35">
        <f>SUBTOTAL(109,tblRenda581114201723262932352581114172023262938[SET])</f>
        <v>0</v>
      </c>
      <c r="L13" s="35">
        <f>SUBTOTAL(109,tblRenda581114201723262932352581114172023262938[OUT])</f>
        <v>0</v>
      </c>
      <c r="M13" s="35">
        <f>SUBTOTAL(109,tblRenda581114201723262932352581114172023262938[NOV])</f>
        <v>0</v>
      </c>
      <c r="N13" s="35">
        <f>SUBTOTAL(109,tblRenda581114201723262932352581114172023262938[DEZ])</f>
        <v>2000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4" ht="21" customHeight="1" x14ac:dyDescent="0.2">
      <c r="A17" s="1"/>
      <c r="B17" s="12" t="s">
        <v>57</v>
      </c>
      <c r="C17" s="32"/>
      <c r="D17" s="21"/>
      <c r="E17" s="21"/>
      <c r="F17" s="32"/>
      <c r="G17" s="21"/>
      <c r="H17" s="32"/>
      <c r="I17" s="21"/>
      <c r="J17" s="32"/>
      <c r="K17" s="32"/>
      <c r="L17" s="32"/>
      <c r="M17" s="32"/>
      <c r="N17" s="50">
        <v>190</v>
      </c>
    </row>
    <row r="18" spans="1:14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32"/>
      <c r="I18" s="21"/>
      <c r="J18" s="32"/>
      <c r="K18" s="32"/>
      <c r="L18" s="32"/>
      <c r="M18" s="32"/>
      <c r="N18" s="42">
        <v>220</v>
      </c>
    </row>
    <row r="19" spans="1:14" ht="21" customHeight="1" x14ac:dyDescent="0.2">
      <c r="A19" s="1"/>
      <c r="B19" s="12" t="s">
        <v>73</v>
      </c>
      <c r="C19" s="32"/>
      <c r="D19" s="21"/>
      <c r="E19" s="21"/>
      <c r="F19" s="32"/>
      <c r="G19" s="21"/>
      <c r="H19" s="32"/>
      <c r="I19" s="21"/>
      <c r="J19" s="32"/>
      <c r="K19" s="32"/>
      <c r="L19" s="32"/>
      <c r="M19" s="32"/>
      <c r="N19" s="42">
        <v>99</v>
      </c>
    </row>
    <row r="20" spans="1:14" ht="21" customHeight="1" x14ac:dyDescent="0.2">
      <c r="A20" s="1"/>
      <c r="B20" s="12" t="s">
        <v>74</v>
      </c>
      <c r="C20" s="32"/>
      <c r="D20" s="21"/>
      <c r="E20" s="21"/>
      <c r="F20" s="32"/>
      <c r="G20" s="21"/>
      <c r="H20" s="32"/>
      <c r="I20" s="21"/>
      <c r="J20" s="32"/>
      <c r="K20" s="32"/>
      <c r="L20" s="32"/>
      <c r="M20" s="32"/>
      <c r="N20" s="42">
        <v>33</v>
      </c>
    </row>
    <row r="21" spans="1:14" ht="21" customHeight="1" x14ac:dyDescent="0.2">
      <c r="A21" s="1"/>
      <c r="B21" s="12" t="s">
        <v>91</v>
      </c>
      <c r="C21" s="32"/>
      <c r="D21" s="21"/>
      <c r="E21" s="21"/>
      <c r="F21" s="32"/>
      <c r="G21" s="21"/>
      <c r="H21" s="32"/>
      <c r="I21" s="21"/>
      <c r="J21" s="32"/>
      <c r="K21" s="32"/>
      <c r="L21" s="32"/>
      <c r="M21" s="32"/>
      <c r="N21" s="42">
        <v>75</v>
      </c>
    </row>
    <row r="22" spans="1:14" ht="21" customHeight="1" x14ac:dyDescent="0.2">
      <c r="A22" s="1"/>
      <c r="B22" s="12" t="s">
        <v>92</v>
      </c>
      <c r="C22" s="32"/>
      <c r="D22" s="21"/>
      <c r="E22" s="21"/>
      <c r="F22" s="32"/>
      <c r="G22" s="21"/>
      <c r="H22" s="32"/>
      <c r="I22" s="21"/>
      <c r="J22" s="32"/>
      <c r="K22" s="32"/>
      <c r="L22" s="32"/>
      <c r="M22" s="32"/>
      <c r="N22" s="42">
        <v>25</v>
      </c>
    </row>
    <row r="23" spans="1:14" ht="21" customHeight="1" x14ac:dyDescent="0.2">
      <c r="A23" s="1"/>
      <c r="B23" s="12" t="s">
        <v>96</v>
      </c>
      <c r="C23" s="32"/>
      <c r="D23" s="21"/>
      <c r="E23" s="21"/>
      <c r="F23" s="32"/>
      <c r="G23" s="21"/>
      <c r="H23" s="32"/>
      <c r="I23" s="21"/>
      <c r="J23" s="32"/>
      <c r="K23" s="32"/>
      <c r="L23" s="32"/>
      <c r="M23" s="32"/>
      <c r="N23" s="42">
        <v>300</v>
      </c>
    </row>
    <row r="24" spans="1:14" ht="21" customHeight="1" x14ac:dyDescent="0.2">
      <c r="A24" s="1"/>
      <c r="B24" s="12" t="s">
        <v>66</v>
      </c>
      <c r="C24" s="32"/>
      <c r="D24" s="21"/>
      <c r="E24" s="21"/>
      <c r="F24" s="32"/>
      <c r="G24" s="21"/>
      <c r="H24" s="32"/>
      <c r="I24" s="21"/>
      <c r="J24" s="32"/>
      <c r="K24" s="32"/>
      <c r="L24" s="32"/>
      <c r="M24" s="32"/>
      <c r="N24" s="42">
        <v>200</v>
      </c>
    </row>
    <row r="25" spans="1:14" ht="21" customHeight="1" x14ac:dyDescent="0.2">
      <c r="A25" s="1"/>
      <c r="B25" s="12"/>
      <c r="C25" s="32"/>
      <c r="D25" s="21"/>
      <c r="E25" s="21"/>
      <c r="F25" s="32"/>
      <c r="G25" s="21"/>
      <c r="H25" s="32"/>
      <c r="I25" s="21"/>
      <c r="J25" s="21"/>
      <c r="K25" s="21"/>
      <c r="L25" s="32"/>
      <c r="M25" s="32"/>
      <c r="N25" s="21"/>
    </row>
    <row r="26" spans="1:14" customFormat="1" ht="21" customHeight="1" x14ac:dyDescent="0.2">
      <c r="B26" s="15" t="s">
        <v>24</v>
      </c>
      <c r="C26" s="32"/>
      <c r="D26" s="21"/>
      <c r="E26" s="32"/>
      <c r="F26" s="32"/>
      <c r="G26" s="32"/>
      <c r="H26" s="32"/>
      <c r="I26" s="21"/>
      <c r="J26" s="21"/>
      <c r="K26" s="21"/>
      <c r="L26" s="32"/>
      <c r="M26" s="32"/>
      <c r="N26" s="32"/>
    </row>
    <row r="27" spans="1:14" ht="21" customHeight="1" x14ac:dyDescent="0.2">
      <c r="A27" s="1"/>
      <c r="B27" s="12" t="s">
        <v>97</v>
      </c>
      <c r="C27" s="32"/>
      <c r="D27" s="21"/>
      <c r="E27" s="32"/>
      <c r="F27" s="32"/>
      <c r="G27" s="32"/>
      <c r="H27" s="32"/>
      <c r="I27" s="21"/>
      <c r="J27" s="21"/>
      <c r="K27" s="32"/>
      <c r="L27" s="32"/>
      <c r="M27" s="32"/>
      <c r="N27" s="42">
        <v>100</v>
      </c>
    </row>
    <row r="28" spans="1:14" ht="21" customHeight="1" x14ac:dyDescent="0.2">
      <c r="B28" s="12" t="s">
        <v>98</v>
      </c>
      <c r="C28" s="32"/>
      <c r="D28" s="21"/>
      <c r="E28" s="32"/>
      <c r="F28" s="32"/>
      <c r="G28" s="32"/>
      <c r="H28" s="32"/>
      <c r="I28" s="21"/>
      <c r="J28" s="21"/>
      <c r="K28" s="32"/>
      <c r="L28" s="32"/>
      <c r="M28" s="32"/>
      <c r="N28" s="42">
        <v>100</v>
      </c>
    </row>
    <row r="29" spans="1:14" ht="21" customHeight="1" x14ac:dyDescent="0.2">
      <c r="B29" s="12"/>
      <c r="C29" s="32"/>
      <c r="D29" s="21"/>
      <c r="E29" s="32"/>
      <c r="F29" s="32"/>
      <c r="G29" s="32"/>
      <c r="H29" s="21"/>
      <c r="I29" s="21"/>
      <c r="J29" s="21"/>
      <c r="K29" s="21"/>
      <c r="L29" s="32"/>
      <c r="M29" s="32"/>
      <c r="N29" s="32"/>
    </row>
    <row r="30" spans="1:14" ht="21" customHeight="1" x14ac:dyDescent="0.2">
      <c r="B30" s="15" t="s">
        <v>27</v>
      </c>
      <c r="C30" s="32"/>
      <c r="D30" s="21"/>
      <c r="E30" s="32"/>
      <c r="F30" s="32"/>
      <c r="G30" s="32"/>
      <c r="H30" s="21"/>
      <c r="I30" s="21"/>
      <c r="J30" s="21"/>
      <c r="K30" s="21"/>
      <c r="L30" s="21"/>
      <c r="M30" s="32"/>
      <c r="N30" s="32"/>
    </row>
    <row r="31" spans="1:14" ht="21" customHeight="1" x14ac:dyDescent="0.2">
      <c r="B31" s="12" t="s">
        <v>99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2"/>
      <c r="N31" s="50">
        <v>55</v>
      </c>
    </row>
    <row r="32" spans="1:14" ht="21" customHeight="1" x14ac:dyDescent="0.2">
      <c r="B32" s="1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5" ht="21" customHeight="1" x14ac:dyDescent="0.2">
      <c r="B33" s="12" t="s">
        <v>16</v>
      </c>
      <c r="C33" s="24">
        <f>SUBTOTAL(109,tblDespesas691215211824273033363691215182124273039[JAN])</f>
        <v>0</v>
      </c>
      <c r="D33" s="24">
        <f>SUBTOTAL(109,tblDespesas691215211824273033363691215182124273039[FEV])</f>
        <v>0</v>
      </c>
      <c r="E33" s="24">
        <f>SUBTOTAL(109,tblDespesas691215211824273033363691215182124273039[MAR])</f>
        <v>0</v>
      </c>
      <c r="F33" s="24">
        <f>SUBTOTAL(109,tblDespesas691215211824273033363691215182124273039[ABR])</f>
        <v>0</v>
      </c>
      <c r="G33" s="24">
        <f>SUBTOTAL(109,tblDespesas691215211824273033363691215182124273039[MAI])</f>
        <v>0</v>
      </c>
      <c r="H33" s="24">
        <f>SUBTOTAL(109,tblDespesas691215211824273033363691215182124273039[JUN])</f>
        <v>0</v>
      </c>
      <c r="I33" s="24">
        <f>SUBTOTAL(109,tblDespesas691215211824273033363691215182124273039[JUL])</f>
        <v>0</v>
      </c>
      <c r="J33" s="24">
        <f>SUBTOTAL(109,tblDespesas691215211824273033363691215182124273039[AGO])</f>
        <v>0</v>
      </c>
      <c r="K33" s="24">
        <f>SUBTOTAL(109,tblDespesas691215211824273033363691215182124273039[SET])</f>
        <v>0</v>
      </c>
      <c r="L33" s="24">
        <f>SUBTOTAL(109,tblDespesas691215211824273033363691215182124273039[OUT])</f>
        <v>0</v>
      </c>
      <c r="M33" s="24">
        <f>SUBTOTAL(109,tblDespesas691215211824273033363691215182124273039[NOV])</f>
        <v>0</v>
      </c>
      <c r="N33" s="24">
        <f>SUBTOTAL(109,tblDespesas691215211824273033363691215182124273039[DEZ])</f>
        <v>1397</v>
      </c>
    </row>
    <row r="34" spans="2:15" ht="21" customHeight="1" x14ac:dyDescent="0.2">
      <c r="B34" s="1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5" ht="21" customHeight="1" x14ac:dyDescent="0.2">
      <c r="B35" s="31"/>
      <c r="C35" s="30"/>
    </row>
    <row r="36" spans="2:15" ht="21" customHeight="1" x14ac:dyDescent="0.2">
      <c r="B36" s="38"/>
    </row>
    <row r="37" spans="2:15" ht="21" customHeight="1" x14ac:dyDescent="0.2">
      <c r="B37" s="37"/>
    </row>
    <row r="38" spans="2:15" ht="21" customHeight="1" x14ac:dyDescent="0.2">
      <c r="B38" s="37"/>
    </row>
    <row r="39" spans="2:15" ht="21" customHeight="1" x14ac:dyDescent="0.2">
      <c r="B39" s="37"/>
      <c r="O39" s="19"/>
    </row>
    <row r="40" spans="2:15" ht="21" customHeight="1" x14ac:dyDescent="0.2">
      <c r="B40" s="29"/>
    </row>
    <row r="41" spans="2:15" ht="21" customHeight="1" x14ac:dyDescent="0.2">
      <c r="B41" s="33"/>
      <c r="C41" s="33"/>
      <c r="D41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2"/>
  <sheetViews>
    <sheetView showGridLines="0" topLeftCell="A10" zoomScale="90" zoomScaleNormal="90" workbookViewId="0">
      <selection activeCell="E25" sqref="E25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4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tblRenda58111420172326293235[[#Totals],[JAN]]-tblDespesas69121521182427303336[[#Totals],[JAN]]</f>
        <v>-403</v>
      </c>
      <c r="D5" s="22">
        <f>tblRenda58111420172326293235[[#Totals],[FEV]]-tblDespesas69121521182427303336[[#Totals],[FEV]]</f>
        <v>0</v>
      </c>
      <c r="E5" s="22">
        <f>tblRenda58111420172326293235[[#Totals],[MAR]]-tblDespesas69121521182427303336[[#Totals],[MAR]]</f>
        <v>0</v>
      </c>
      <c r="F5" s="22">
        <f>tblRenda58111420172326293235[[#Totals],[ABR]]-tblDespesas69121521182427303336[[#Totals],[ABR]]</f>
        <v>0</v>
      </c>
      <c r="G5" s="22">
        <f>tblRenda58111420172326293235[[#Totals],[MAI]]-tblDespesas69121521182427303336[[#Totals],[MAI]]</f>
        <v>0</v>
      </c>
      <c r="H5" s="22">
        <f>tblRenda58111420172326293235[[#Totals],[JUN]]-tblDespesas69121521182427303336[[#Totals],[JUN]]</f>
        <v>0</v>
      </c>
      <c r="I5" s="22">
        <f>tblRenda58111420172326293235[[#Totals],[JUL]]-tblDespesas69121521182427303336[[#Totals],[JUL]]</f>
        <v>0</v>
      </c>
      <c r="J5" s="22">
        <f>tblRenda58111420172326293235[[#Totals],[AGO]]-tblDespesas69121521182427303336[[#Totals],[AGO]]</f>
        <v>0</v>
      </c>
      <c r="K5" s="22">
        <f>tblRenda58111420172326293235[[#Totals],[SET]]-tblDespesas69121521182427303336[[#Totals],[SET]]</f>
        <v>0</v>
      </c>
      <c r="L5" s="22">
        <f>tblRenda58111420172326293235[[#Totals],[OUT]]-tblDespesas69121521182427303336[[#Totals],[OUT]]</f>
        <v>0</v>
      </c>
      <c r="M5" s="22">
        <f>tblRenda58111420172326293235[[#Totals],[NOV]]-tblDespesas69121521182427303336[[#Totals],[NOV]]</f>
        <v>0</v>
      </c>
      <c r="N5" s="22">
        <f>tblRenda58111420172326293235[[#Totals],[DEZ]]-tblDespesas69121521182427303336[[#Totals],[DEZ]]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37</v>
      </c>
      <c r="C9" s="42">
        <v>855</v>
      </c>
      <c r="D9" s="21"/>
      <c r="E9" s="21"/>
      <c r="F9" s="21"/>
      <c r="G9" s="32"/>
      <c r="H9" s="21"/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SUBTOTAL(109,tblRenda58111420172326293235[JAN])</f>
        <v>855</v>
      </c>
      <c r="D13" s="35">
        <f>SUBTOTAL(109,tblRenda58111420172326293235[FEV])</f>
        <v>0</v>
      </c>
      <c r="E13" s="35">
        <f>SUBTOTAL(109,tblRenda58111420172326293235[MAR])</f>
        <v>0</v>
      </c>
      <c r="F13" s="35">
        <f>SUBTOTAL(109,tblRenda58111420172326293235[ABR])</f>
        <v>0</v>
      </c>
      <c r="G13" s="35">
        <f>SUBTOTAL(109,tblRenda58111420172326293235[MAI])</f>
        <v>0</v>
      </c>
      <c r="H13" s="35">
        <f>SUBTOTAL(109,tblRenda58111420172326293235[JUN])</f>
        <v>0</v>
      </c>
      <c r="I13" s="35">
        <f>SUBTOTAL(109,tblRenda58111420172326293235[JUL])</f>
        <v>0</v>
      </c>
      <c r="J13" s="35">
        <f>SUBTOTAL(109,tblRenda58111420172326293235[AGO])</f>
        <v>0</v>
      </c>
      <c r="K13" s="35">
        <f>SUBTOTAL(109,tblRenda58111420172326293235[SET])</f>
        <v>0</v>
      </c>
      <c r="L13" s="35">
        <f>SUBTOTAL(109,tblRenda58111420172326293235[OUT])</f>
        <v>0</v>
      </c>
      <c r="M13" s="35">
        <f>SUBTOTAL(109,tblRenda58111420172326293235[NOV])</f>
        <v>0</v>
      </c>
      <c r="N13" s="35">
        <f>SUBTOTAL(109,tblRenda58111420172326293235[DEZ])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41</v>
      </c>
      <c r="C17" s="42">
        <v>170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40</v>
      </c>
      <c r="C18" s="42">
        <v>95</v>
      </c>
      <c r="D18" s="21"/>
      <c r="E18" s="32"/>
      <c r="F18" s="21"/>
      <c r="G18" s="32"/>
      <c r="H18" s="21"/>
      <c r="I18" s="21"/>
      <c r="J18" s="21"/>
      <c r="K18" s="21"/>
      <c r="L18" s="21"/>
      <c r="M18" s="32"/>
      <c r="N18" s="21"/>
    </row>
    <row r="19" spans="1:15" ht="21" customHeight="1" x14ac:dyDescent="0.2">
      <c r="A19" s="1"/>
      <c r="B19" s="12" t="s">
        <v>22</v>
      </c>
      <c r="C19" s="42">
        <v>75</v>
      </c>
      <c r="D19" s="21"/>
      <c r="E19" s="32"/>
      <c r="F19" s="21"/>
      <c r="G19" s="32"/>
      <c r="H19" s="21"/>
      <c r="I19" s="21"/>
      <c r="J19" s="21"/>
      <c r="K19" s="21"/>
      <c r="L19" s="21"/>
      <c r="M19" s="32"/>
      <c r="N19" s="21"/>
    </row>
    <row r="20" spans="1:15" ht="21" customHeight="1" x14ac:dyDescent="0.2">
      <c r="A20" s="1"/>
      <c r="B20" s="12" t="s">
        <v>23</v>
      </c>
      <c r="C20" s="42">
        <v>30</v>
      </c>
      <c r="D20" s="21"/>
      <c r="E20" s="32"/>
      <c r="F20" s="21"/>
      <c r="G20" s="32"/>
      <c r="H20" s="21"/>
      <c r="I20" s="21"/>
      <c r="J20" s="21"/>
      <c r="K20" s="21"/>
      <c r="L20" s="21"/>
      <c r="M20" s="32"/>
      <c r="N20" s="21"/>
    </row>
    <row r="21" spans="1:15" ht="21" customHeight="1" x14ac:dyDescent="0.2">
      <c r="A21" s="1"/>
      <c r="B21" s="12" t="s">
        <v>31</v>
      </c>
      <c r="C21" s="42">
        <v>30</v>
      </c>
      <c r="D21" s="21"/>
      <c r="E21" s="32"/>
      <c r="F21" s="21"/>
      <c r="G21" s="32"/>
      <c r="H21" s="21"/>
      <c r="I21" s="21"/>
      <c r="J21" s="21"/>
      <c r="K21" s="21"/>
      <c r="L21" s="21"/>
      <c r="M21" s="32"/>
      <c r="N21" s="21"/>
    </row>
    <row r="22" spans="1:15" ht="21" customHeight="1" x14ac:dyDescent="0.2">
      <c r="A22" s="1"/>
      <c r="B22" s="12" t="s">
        <v>21</v>
      </c>
      <c r="C22" s="42">
        <v>200</v>
      </c>
      <c r="D22" s="21"/>
      <c r="E22" s="32"/>
      <c r="F22" s="21"/>
      <c r="G22" s="32"/>
      <c r="H22" s="21"/>
      <c r="I22" s="21"/>
      <c r="J22" s="21"/>
      <c r="K22" s="21"/>
      <c r="L22" s="21"/>
      <c r="M22" s="32"/>
      <c r="N22" s="21"/>
    </row>
    <row r="23" spans="1:15" ht="21" customHeight="1" x14ac:dyDescent="0.2">
      <c r="A23" s="1"/>
      <c r="B23" s="12" t="s">
        <v>47</v>
      </c>
      <c r="C23" s="42">
        <v>20</v>
      </c>
      <c r="D23" s="21"/>
      <c r="E23" s="32"/>
      <c r="F23" s="21"/>
      <c r="G23" s="32"/>
      <c r="H23" s="21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2" t="s">
        <v>96</v>
      </c>
      <c r="C24" s="42">
        <v>300</v>
      </c>
      <c r="D24" s="21"/>
      <c r="E24" s="32"/>
      <c r="F24" s="21"/>
      <c r="G24" s="32"/>
      <c r="H24" s="21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2"/>
      <c r="C25" s="21"/>
      <c r="D25" s="21"/>
      <c r="E25" s="32"/>
      <c r="F25" s="21"/>
      <c r="G25" s="32"/>
      <c r="H25" s="21"/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5" t="s">
        <v>24</v>
      </c>
      <c r="C26" s="21"/>
      <c r="D26" s="21"/>
      <c r="E26" s="32"/>
      <c r="F26" s="21"/>
      <c r="G26" s="32"/>
      <c r="H26" s="21"/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 t="s">
        <v>42</v>
      </c>
      <c r="C27" s="42">
        <v>38</v>
      </c>
      <c r="D27" s="21"/>
      <c r="E27" s="32"/>
      <c r="F27" s="21"/>
      <c r="G27" s="32"/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2" t="s">
        <v>26</v>
      </c>
      <c r="C28" s="42">
        <v>100</v>
      </c>
      <c r="D28" s="21"/>
      <c r="E28" s="32"/>
      <c r="F28" s="21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2" t="s">
        <v>43</v>
      </c>
      <c r="C29" s="42">
        <v>100</v>
      </c>
      <c r="D29" s="21"/>
      <c r="E29" s="32"/>
      <c r="F29" s="21"/>
      <c r="G29" s="32"/>
      <c r="H29" s="21"/>
      <c r="I29" s="21"/>
      <c r="J29" s="21"/>
      <c r="K29" s="21"/>
      <c r="L29" s="21"/>
      <c r="M29" s="32"/>
      <c r="N29" s="21"/>
      <c r="O29" s="14"/>
    </row>
    <row r="30" spans="1:15" ht="21" customHeight="1" x14ac:dyDescent="0.2">
      <c r="B30" s="12" t="s">
        <v>44</v>
      </c>
      <c r="C30" s="42">
        <v>100</v>
      </c>
      <c r="D30" s="21"/>
      <c r="E30" s="32"/>
      <c r="F30" s="21"/>
      <c r="G30" s="32"/>
      <c r="H30" s="21"/>
      <c r="I30" s="21"/>
      <c r="J30" s="21"/>
      <c r="K30" s="21"/>
      <c r="L30" s="21"/>
      <c r="M30" s="32"/>
      <c r="N30" s="21"/>
    </row>
    <row r="31" spans="1:15" ht="21" customHeight="1" x14ac:dyDescent="0.2">
      <c r="B31" s="12"/>
      <c r="C31" s="21"/>
      <c r="D31" s="21"/>
      <c r="E31" s="32"/>
      <c r="F31" s="21"/>
      <c r="G31" s="32"/>
      <c r="H31" s="21"/>
      <c r="I31" s="21"/>
      <c r="J31" s="21"/>
      <c r="K31" s="21"/>
      <c r="L31" s="21"/>
      <c r="M31" s="32"/>
      <c r="N31" s="21"/>
    </row>
    <row r="32" spans="1:15" ht="21" customHeight="1" x14ac:dyDescent="0.2">
      <c r="B32" s="15" t="s">
        <v>27</v>
      </c>
      <c r="C32" s="21"/>
      <c r="D32" s="21"/>
      <c r="E32" s="32"/>
      <c r="F32" s="21"/>
      <c r="G32" s="32"/>
      <c r="H32" s="21"/>
      <c r="I32" s="21"/>
      <c r="J32" s="21"/>
      <c r="K32" s="21"/>
      <c r="L32" s="21"/>
      <c r="M32" s="32"/>
      <c r="N32" s="21"/>
    </row>
    <row r="33" spans="2:15" ht="21" customHeight="1" x14ac:dyDescent="0.2">
      <c r="B33" s="1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5" ht="21" customHeight="1" x14ac:dyDescent="0.2">
      <c r="B34" s="34" t="s">
        <v>16</v>
      </c>
      <c r="C34" s="36">
        <f>SUBTOTAL(109,tblDespesas69121521182427303336[JAN])</f>
        <v>1258</v>
      </c>
      <c r="D34" s="36">
        <f>SUBTOTAL(109,tblDespesas69121521182427303336[FEV])</f>
        <v>0</v>
      </c>
      <c r="E34" s="36">
        <f>SUBTOTAL(109,tblDespesas69121521182427303336[MAR])</f>
        <v>0</v>
      </c>
      <c r="F34" s="36">
        <f>SUBTOTAL(109,tblDespesas69121521182427303336[ABR])</f>
        <v>0</v>
      </c>
      <c r="G34" s="36">
        <f>SUBTOTAL(109,tblDespesas69121521182427303336[MAI])</f>
        <v>0</v>
      </c>
      <c r="H34" s="36">
        <f>SUBTOTAL(109,tblDespesas69121521182427303336[JUN])</f>
        <v>0</v>
      </c>
      <c r="I34" s="36">
        <f>SUBTOTAL(109,tblDespesas69121521182427303336[JUL])</f>
        <v>0</v>
      </c>
      <c r="J34" s="36">
        <f>SUBTOTAL(109,tblDespesas69121521182427303336[AGO])</f>
        <v>0</v>
      </c>
      <c r="K34" s="36">
        <f>SUBTOTAL(109,tblDespesas69121521182427303336[SET])</f>
        <v>0</v>
      </c>
      <c r="L34" s="36">
        <f>SUBTOTAL(109,tblDespesas69121521182427303336[OUT])</f>
        <v>0</v>
      </c>
      <c r="M34" s="36">
        <f>SUBTOTAL(109,tblDespesas69121521182427303336[NOV])</f>
        <v>0</v>
      </c>
      <c r="N34" s="36">
        <f>SUBTOTAL(109,tblDespesas69121521182427303336[DEZ])</f>
        <v>0</v>
      </c>
    </row>
    <row r="35" spans="2:15" ht="21" customHeight="1" x14ac:dyDescent="0.2">
      <c r="B35" s="1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5" ht="21" customHeight="1" x14ac:dyDescent="0.2">
      <c r="B36" s="31"/>
      <c r="C36" s="30"/>
    </row>
    <row r="37" spans="2:15" ht="21" customHeight="1" x14ac:dyDescent="0.2">
      <c r="B37" s="38"/>
    </row>
    <row r="38" spans="2:15" ht="21" customHeight="1" x14ac:dyDescent="0.2">
      <c r="B38" s="37"/>
    </row>
    <row r="39" spans="2:15" ht="21" customHeight="1" x14ac:dyDescent="0.2">
      <c r="B39" s="37"/>
      <c r="O39" s="19"/>
    </row>
    <row r="40" spans="2:15" ht="21" customHeight="1" x14ac:dyDescent="0.2">
      <c r="B40" s="37"/>
    </row>
    <row r="41" spans="2:15" ht="21" customHeight="1" x14ac:dyDescent="0.2">
      <c r="B41" s="29"/>
    </row>
    <row r="42" spans="2:15" ht="21" customHeight="1" x14ac:dyDescent="0.2">
      <c r="B42" s="33"/>
      <c r="C42" s="33"/>
      <c r="D42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3"/>
  <sheetViews>
    <sheetView showGridLines="0" topLeftCell="A16" zoomScale="90" zoomScaleNormal="90" workbookViewId="0">
      <selection activeCell="F27" sqref="F27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tblRenda581114201723262932352[[#Totals],[JAN]]-tblDespesas691215211824273033363[[#Totals],[JAN]]</f>
        <v>0</v>
      </c>
      <c r="D5" s="22">
        <f>tblRenda581114201723262932352[[#Totals],[FEV]]-tblDespesas691215211824273033363[[#Totals],[FEV]]</f>
        <v>-453</v>
      </c>
      <c r="E5" s="22">
        <f>tblRenda581114201723262932352[[#Totals],[MAR]]-tblDespesas691215211824273033363[[#Totals],[MAR]]</f>
        <v>0</v>
      </c>
      <c r="F5" s="22">
        <f>tblRenda581114201723262932352[[#Totals],[ABR]]-tblDespesas691215211824273033363[[#Totals],[ABR]]</f>
        <v>0</v>
      </c>
      <c r="G5" s="22">
        <f>tblRenda581114201723262932352[[#Totals],[MAI]]-tblDespesas691215211824273033363[[#Totals],[MAI]]</f>
        <v>0</v>
      </c>
      <c r="H5" s="22">
        <f>tblRenda581114201723262932352[[#Totals],[JUN]]-tblDespesas691215211824273033363[[#Totals],[JUN]]</f>
        <v>0</v>
      </c>
      <c r="I5" s="22">
        <f>tblRenda581114201723262932352[[#Totals],[JUL]]-tblDespesas691215211824273033363[[#Totals],[JUL]]</f>
        <v>0</v>
      </c>
      <c r="J5" s="22">
        <f>tblRenda581114201723262932352[[#Totals],[AGO]]-tblDespesas691215211824273033363[[#Totals],[AGO]]</f>
        <v>0</v>
      </c>
      <c r="K5" s="22">
        <f>tblRenda581114201723262932352[[#Totals],[SET]]-tblDespesas691215211824273033363[[#Totals],[SET]]</f>
        <v>0</v>
      </c>
      <c r="L5" s="22">
        <f>tblRenda581114201723262932352[[#Totals],[OUT]]-tblDespesas691215211824273033363[[#Totals],[OUT]]</f>
        <v>0</v>
      </c>
      <c r="M5" s="22">
        <f>tblRenda581114201723262932352[[#Totals],[NOV]]-tblDespesas691215211824273033363[[#Totals],[NOV]]</f>
        <v>0</v>
      </c>
      <c r="N5" s="22">
        <f>tblRenda581114201723262932352[[#Totals],[DEZ]]-tblDespesas691215211824273033363[[#Totals],[DEZ]]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37</v>
      </c>
      <c r="C9" s="32"/>
      <c r="D9" s="42">
        <v>855</v>
      </c>
      <c r="E9" s="21"/>
      <c r="F9" s="21"/>
      <c r="G9" s="32"/>
      <c r="H9" s="21"/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SUBTOTAL(109,tblRenda581114201723262932352[JAN])</f>
        <v>0</v>
      </c>
      <c r="D13" s="35">
        <f>SUBTOTAL(109,tblRenda581114201723262932352[FEV])</f>
        <v>855</v>
      </c>
      <c r="E13" s="35">
        <f>SUBTOTAL(109,tblRenda581114201723262932352[MAR])</f>
        <v>0</v>
      </c>
      <c r="F13" s="35">
        <f>SUBTOTAL(109,tblRenda581114201723262932352[ABR])</f>
        <v>0</v>
      </c>
      <c r="G13" s="35">
        <f>SUBTOTAL(109,tblRenda581114201723262932352[MAI])</f>
        <v>0</v>
      </c>
      <c r="H13" s="35">
        <f>SUBTOTAL(109,tblRenda581114201723262932352[JUN])</f>
        <v>0</v>
      </c>
      <c r="I13" s="35">
        <f>SUBTOTAL(109,tblRenda581114201723262932352[JUL])</f>
        <v>0</v>
      </c>
      <c r="J13" s="35">
        <f>SUBTOTAL(109,tblRenda581114201723262932352[AGO])</f>
        <v>0</v>
      </c>
      <c r="K13" s="35">
        <f>SUBTOTAL(109,tblRenda581114201723262932352[SET])</f>
        <v>0</v>
      </c>
      <c r="L13" s="35">
        <f>SUBTOTAL(109,tblRenda581114201723262932352[OUT])</f>
        <v>0</v>
      </c>
      <c r="M13" s="35">
        <f>SUBTOTAL(109,tblRenda581114201723262932352[NOV])</f>
        <v>0</v>
      </c>
      <c r="N13" s="35">
        <f>SUBTOTAL(109,tblRenda581114201723262932352[DEZ])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41</v>
      </c>
      <c r="C17" s="32"/>
      <c r="D17" s="42">
        <v>170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40</v>
      </c>
      <c r="C18" s="32"/>
      <c r="D18" s="42">
        <v>95</v>
      </c>
      <c r="E18" s="32"/>
      <c r="F18" s="21"/>
      <c r="G18" s="32"/>
      <c r="H18" s="21"/>
      <c r="I18" s="21"/>
      <c r="J18" s="21"/>
      <c r="K18" s="21"/>
      <c r="L18" s="21"/>
      <c r="M18" s="32"/>
      <c r="N18" s="21"/>
    </row>
    <row r="19" spans="1:15" ht="21" customHeight="1" x14ac:dyDescent="0.2">
      <c r="A19" s="1"/>
      <c r="B19" s="12" t="s">
        <v>22</v>
      </c>
      <c r="C19" s="32"/>
      <c r="D19" s="42">
        <v>75</v>
      </c>
      <c r="E19" s="32"/>
      <c r="F19" s="21"/>
      <c r="G19" s="32"/>
      <c r="H19" s="21"/>
      <c r="I19" s="21"/>
      <c r="J19" s="21"/>
      <c r="K19" s="21"/>
      <c r="L19" s="21"/>
      <c r="M19" s="32"/>
      <c r="N19" s="21"/>
    </row>
    <row r="20" spans="1:15" ht="21" customHeight="1" x14ac:dyDescent="0.2">
      <c r="A20" s="1"/>
      <c r="B20" s="12" t="s">
        <v>23</v>
      </c>
      <c r="C20" s="32"/>
      <c r="D20" s="42">
        <v>30</v>
      </c>
      <c r="E20" s="32"/>
      <c r="F20" s="21"/>
      <c r="G20" s="32"/>
      <c r="H20" s="21"/>
      <c r="I20" s="21"/>
      <c r="J20" s="21"/>
      <c r="K20" s="21"/>
      <c r="L20" s="21"/>
      <c r="M20" s="32"/>
      <c r="N20" s="21"/>
    </row>
    <row r="21" spans="1:15" ht="21" customHeight="1" x14ac:dyDescent="0.2">
      <c r="A21" s="1"/>
      <c r="B21" s="12" t="s">
        <v>31</v>
      </c>
      <c r="C21" s="32"/>
      <c r="D21" s="42">
        <v>30</v>
      </c>
      <c r="E21" s="32"/>
      <c r="F21" s="21"/>
      <c r="G21" s="32"/>
      <c r="H21" s="21"/>
      <c r="I21" s="21"/>
      <c r="J21" s="21"/>
      <c r="K21" s="21"/>
      <c r="L21" s="21"/>
      <c r="M21" s="32"/>
      <c r="N21" s="21"/>
    </row>
    <row r="22" spans="1:15" ht="21" customHeight="1" x14ac:dyDescent="0.2">
      <c r="A22" s="1"/>
      <c r="B22" s="12" t="s">
        <v>21</v>
      </c>
      <c r="C22" s="32"/>
      <c r="D22" s="42">
        <v>200</v>
      </c>
      <c r="E22" s="32"/>
      <c r="F22" s="21"/>
      <c r="G22" s="32"/>
      <c r="H22" s="21"/>
      <c r="I22" s="21"/>
      <c r="J22" s="21"/>
      <c r="K22" s="21"/>
      <c r="L22" s="21"/>
      <c r="M22" s="32"/>
      <c r="N22" s="21"/>
    </row>
    <row r="23" spans="1:15" ht="21" customHeight="1" x14ac:dyDescent="0.2">
      <c r="A23" s="1"/>
      <c r="B23" s="12" t="s">
        <v>47</v>
      </c>
      <c r="C23" s="32"/>
      <c r="D23" s="42">
        <v>20</v>
      </c>
      <c r="E23" s="32"/>
      <c r="F23" s="21"/>
      <c r="G23" s="32"/>
      <c r="H23" s="21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2" t="s">
        <v>96</v>
      </c>
      <c r="C24" s="32"/>
      <c r="D24" s="42">
        <v>300</v>
      </c>
      <c r="E24" s="32"/>
      <c r="F24" s="21"/>
      <c r="G24" s="32"/>
      <c r="H24" s="21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2"/>
      <c r="C25" s="32"/>
      <c r="D25" s="21"/>
      <c r="E25" s="32"/>
      <c r="F25" s="21"/>
      <c r="G25" s="32"/>
      <c r="H25" s="21"/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5" t="s">
        <v>24</v>
      </c>
      <c r="C26" s="32"/>
      <c r="D26" s="21"/>
      <c r="E26" s="32"/>
      <c r="F26" s="21"/>
      <c r="G26" s="32"/>
      <c r="H26" s="21"/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 t="s">
        <v>42</v>
      </c>
      <c r="C27" s="32"/>
      <c r="D27" s="42">
        <v>38</v>
      </c>
      <c r="E27" s="32"/>
      <c r="F27" s="21"/>
      <c r="G27" s="32"/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2" t="s">
        <v>26</v>
      </c>
      <c r="C28" s="32"/>
      <c r="D28" s="42">
        <v>100</v>
      </c>
      <c r="E28" s="32"/>
      <c r="F28" s="21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2" t="s">
        <v>45</v>
      </c>
      <c r="C29" s="32"/>
      <c r="D29" s="42">
        <v>100</v>
      </c>
      <c r="E29" s="32"/>
      <c r="F29" s="21"/>
      <c r="G29" s="32"/>
      <c r="H29" s="21"/>
      <c r="I29" s="21"/>
      <c r="J29" s="21"/>
      <c r="K29" s="21"/>
      <c r="L29" s="21"/>
      <c r="M29" s="32"/>
      <c r="N29" s="21"/>
      <c r="O29" s="14"/>
    </row>
    <row r="30" spans="1:15" ht="21" customHeight="1" x14ac:dyDescent="0.2">
      <c r="B30" s="12" t="s">
        <v>46</v>
      </c>
      <c r="C30" s="32"/>
      <c r="D30" s="42">
        <v>100</v>
      </c>
      <c r="E30" s="32"/>
      <c r="F30" s="21"/>
      <c r="G30" s="32"/>
      <c r="H30" s="21"/>
      <c r="I30" s="21"/>
      <c r="J30" s="21"/>
      <c r="K30" s="21"/>
      <c r="L30" s="21"/>
      <c r="M30" s="32"/>
      <c r="N30" s="21"/>
    </row>
    <row r="31" spans="1:15" ht="21" customHeight="1" x14ac:dyDescent="0.2">
      <c r="B31" s="12"/>
      <c r="C31" s="32"/>
      <c r="D31" s="21"/>
      <c r="E31" s="32"/>
      <c r="F31" s="21"/>
      <c r="G31" s="32"/>
      <c r="H31" s="21"/>
      <c r="I31" s="21"/>
      <c r="J31" s="21"/>
      <c r="K31" s="21"/>
      <c r="L31" s="21"/>
      <c r="M31" s="32"/>
      <c r="N31" s="21"/>
    </row>
    <row r="32" spans="1:15" ht="21" customHeight="1" x14ac:dyDescent="0.2">
      <c r="B32" s="15" t="s">
        <v>27</v>
      </c>
      <c r="C32" s="32"/>
      <c r="D32" s="21"/>
      <c r="E32" s="32"/>
      <c r="F32" s="21"/>
      <c r="G32" s="32"/>
      <c r="H32" s="21"/>
      <c r="I32" s="21"/>
      <c r="J32" s="21"/>
      <c r="K32" s="21"/>
      <c r="L32" s="21"/>
      <c r="M32" s="32"/>
      <c r="N32" s="21"/>
    </row>
    <row r="33" spans="2:15" ht="21" customHeight="1" x14ac:dyDescent="0.2">
      <c r="B33" s="12" t="s">
        <v>76</v>
      </c>
      <c r="C33" s="32"/>
      <c r="D33" s="42">
        <v>50</v>
      </c>
      <c r="E33" s="32"/>
      <c r="F33" s="21"/>
      <c r="G33" s="32"/>
      <c r="H33" s="21"/>
      <c r="I33" s="21"/>
      <c r="J33" s="21"/>
      <c r="K33" s="21"/>
      <c r="L33" s="21"/>
      <c r="M33" s="32"/>
      <c r="N33" s="21"/>
    </row>
    <row r="34" spans="2:15" ht="21" customHeight="1" x14ac:dyDescent="0.2">
      <c r="B34" s="1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5" ht="21" customHeight="1" x14ac:dyDescent="0.2">
      <c r="B35" s="34" t="s">
        <v>16</v>
      </c>
      <c r="C35" s="36">
        <f>SUBTOTAL(109,tblDespesas691215211824273033363[JAN])</f>
        <v>0</v>
      </c>
      <c r="D35" s="36">
        <f>SUBTOTAL(109,tblDespesas691215211824273033363[FEV])</f>
        <v>1308</v>
      </c>
      <c r="E35" s="36">
        <f>SUBTOTAL(109,tblDespesas691215211824273033363[MAR])</f>
        <v>0</v>
      </c>
      <c r="F35" s="36">
        <f>SUBTOTAL(109,tblDespesas691215211824273033363[ABR])</f>
        <v>0</v>
      </c>
      <c r="G35" s="36">
        <f>SUBTOTAL(109,tblDespesas691215211824273033363[MAI])</f>
        <v>0</v>
      </c>
      <c r="H35" s="36">
        <f>SUBTOTAL(109,tblDespesas691215211824273033363[JUN])</f>
        <v>0</v>
      </c>
      <c r="I35" s="36">
        <f>SUBTOTAL(109,tblDespesas691215211824273033363[JUL])</f>
        <v>0</v>
      </c>
      <c r="J35" s="36">
        <f>SUBTOTAL(109,tblDespesas691215211824273033363[AGO])</f>
        <v>0</v>
      </c>
      <c r="K35" s="36">
        <f>SUBTOTAL(109,tblDespesas691215211824273033363[SET])</f>
        <v>0</v>
      </c>
      <c r="L35" s="36">
        <f>SUBTOTAL(109,tblDespesas691215211824273033363[OUT])</f>
        <v>0</v>
      </c>
      <c r="M35" s="36">
        <f>SUBTOTAL(109,tblDespesas691215211824273033363[NOV])</f>
        <v>0</v>
      </c>
      <c r="N35" s="36">
        <f>SUBTOTAL(109,tblDespesas691215211824273033363[DEZ])</f>
        <v>0</v>
      </c>
    </row>
    <row r="36" spans="2:15" ht="21" customHeight="1" x14ac:dyDescent="0.2">
      <c r="B36" s="1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5" ht="21" customHeight="1" x14ac:dyDescent="0.2">
      <c r="B37" s="31"/>
      <c r="C37" s="30"/>
    </row>
    <row r="38" spans="2:15" ht="21" customHeight="1" x14ac:dyDescent="0.2">
      <c r="B38" s="38"/>
    </row>
    <row r="39" spans="2:15" ht="21" customHeight="1" x14ac:dyDescent="0.2">
      <c r="B39" s="37"/>
      <c r="O39" s="19"/>
    </row>
    <row r="40" spans="2:15" ht="21" customHeight="1" x14ac:dyDescent="0.2">
      <c r="B40" s="37"/>
    </row>
    <row r="41" spans="2:15" ht="21" customHeight="1" x14ac:dyDescent="0.2">
      <c r="B41" s="37"/>
    </row>
    <row r="42" spans="2:15" ht="21" customHeight="1" x14ac:dyDescent="0.2">
      <c r="B42" s="29"/>
    </row>
    <row r="43" spans="2:15" ht="21" customHeight="1" x14ac:dyDescent="0.2">
      <c r="B43" s="33"/>
      <c r="C43" s="33"/>
      <c r="D43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2"/>
  <sheetViews>
    <sheetView showGridLines="0" topLeftCell="A19" zoomScale="90" zoomScaleNormal="90" workbookViewId="0">
      <selection activeCell="H27" sqref="H27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tblRenda5811142017232629323525[[#Totals],[JAN]]-tblDespesas6912152118242730333636[[#Totals],[JAN]]</f>
        <v>0</v>
      </c>
      <c r="D5" s="22">
        <f>tblRenda5811142017232629323525[[#Totals],[FEV]]-tblDespesas6912152118242730333636[[#Totals],[FEV]]</f>
        <v>0</v>
      </c>
      <c r="E5" s="22">
        <f>tblRenda5811142017232629323525[[#Totals],[MAR]]-tblDespesas6912152118242730333636[[#Totals],[MAR]]</f>
        <v>-485</v>
      </c>
      <c r="F5" s="22">
        <f>tblRenda5811142017232629323525[[#Totals],[ABR]]-tblDespesas6912152118242730333636[[#Totals],[ABR]]</f>
        <v>0</v>
      </c>
      <c r="G5" s="22">
        <f>tblRenda5811142017232629323525[[#Totals],[MAI]]-tblDespesas6912152118242730333636[[#Totals],[MAI]]</f>
        <v>0</v>
      </c>
      <c r="H5" s="22">
        <f>tblRenda5811142017232629323525[[#Totals],[JUN]]-tblDespesas6912152118242730333636[[#Totals],[JUN]]</f>
        <v>0</v>
      </c>
      <c r="I5" s="22">
        <f>tblRenda5811142017232629323525[[#Totals],[JUL]]-tblDespesas6912152118242730333636[[#Totals],[JUL]]</f>
        <v>0</v>
      </c>
      <c r="J5" s="22">
        <f>tblRenda5811142017232629323525[[#Totals],[AGO]]-tblDespesas6912152118242730333636[[#Totals],[AGO]]</f>
        <v>0</v>
      </c>
      <c r="K5" s="22">
        <f>tblRenda5811142017232629323525[[#Totals],[SET]]-tblDespesas6912152118242730333636[[#Totals],[SET]]</f>
        <v>0</v>
      </c>
      <c r="L5" s="22">
        <f>tblRenda5811142017232629323525[[#Totals],[OUT]]-tblDespesas6912152118242730333636[[#Totals],[OUT]]</f>
        <v>0</v>
      </c>
      <c r="M5" s="22">
        <f>tblRenda5811142017232629323525[[#Totals],[NOV]]-tblDespesas6912152118242730333636[[#Totals],[NOV]]</f>
        <v>0</v>
      </c>
      <c r="N5" s="22">
        <f>tblRenda5811142017232629323525[[#Totals],[DEZ]]-tblDespesas6912152118242730333636[[#Totals],[DEZ]]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37</v>
      </c>
      <c r="C9" s="32"/>
      <c r="D9" s="21"/>
      <c r="E9" s="42">
        <v>855</v>
      </c>
      <c r="F9" s="21"/>
      <c r="G9" s="32"/>
      <c r="H9" s="21"/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SUBTOTAL(109,tblRenda5811142017232629323525[JAN])</f>
        <v>0</v>
      </c>
      <c r="D13" s="35">
        <f>SUBTOTAL(109,tblRenda5811142017232629323525[FEV])</f>
        <v>0</v>
      </c>
      <c r="E13" s="35">
        <f>SUBTOTAL(109,tblRenda5811142017232629323525[MAR])</f>
        <v>855</v>
      </c>
      <c r="F13" s="35">
        <f>SUBTOTAL(109,tblRenda5811142017232629323525[ABR])</f>
        <v>0</v>
      </c>
      <c r="G13" s="35">
        <f>SUBTOTAL(109,tblRenda5811142017232629323525[MAI])</f>
        <v>0</v>
      </c>
      <c r="H13" s="35">
        <f>SUBTOTAL(109,tblRenda5811142017232629323525[JUN])</f>
        <v>0</v>
      </c>
      <c r="I13" s="35">
        <f>SUBTOTAL(109,tblRenda5811142017232629323525[JUL])</f>
        <v>0</v>
      </c>
      <c r="J13" s="35">
        <f>SUBTOTAL(109,tblRenda5811142017232629323525[AGO])</f>
        <v>0</v>
      </c>
      <c r="K13" s="35">
        <f>SUBTOTAL(109,tblRenda5811142017232629323525[SET])</f>
        <v>0</v>
      </c>
      <c r="L13" s="35">
        <f>SUBTOTAL(109,tblRenda5811142017232629323525[OUT])</f>
        <v>0</v>
      </c>
      <c r="M13" s="35">
        <f>SUBTOTAL(109,tblRenda5811142017232629323525[NOV])</f>
        <v>0</v>
      </c>
      <c r="N13" s="35">
        <f>SUBTOTAL(109,tblRenda5811142017232629323525[DEZ])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41</v>
      </c>
      <c r="C17" s="32"/>
      <c r="D17" s="21"/>
      <c r="E17" s="42">
        <v>170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40</v>
      </c>
      <c r="C18" s="32"/>
      <c r="D18" s="21"/>
      <c r="E18" s="42">
        <v>95</v>
      </c>
      <c r="F18" s="21"/>
      <c r="G18" s="32"/>
      <c r="H18" s="21"/>
      <c r="I18" s="21"/>
      <c r="J18" s="21"/>
      <c r="K18" s="21"/>
      <c r="L18" s="21"/>
      <c r="M18" s="32"/>
      <c r="N18" s="21"/>
    </row>
    <row r="19" spans="1:15" ht="21" customHeight="1" x14ac:dyDescent="0.2">
      <c r="A19" s="1"/>
      <c r="B19" s="12" t="s">
        <v>22</v>
      </c>
      <c r="C19" s="32"/>
      <c r="D19" s="21"/>
      <c r="E19" s="42">
        <v>30</v>
      </c>
      <c r="F19" s="21"/>
      <c r="G19" s="32"/>
      <c r="H19" s="21"/>
      <c r="I19" s="21"/>
      <c r="J19" s="21"/>
      <c r="K19" s="21"/>
      <c r="L19" s="21"/>
      <c r="M19" s="32"/>
      <c r="N19" s="21"/>
    </row>
    <row r="20" spans="1:15" ht="21" customHeight="1" x14ac:dyDescent="0.2">
      <c r="A20" s="1"/>
      <c r="B20" s="12" t="s">
        <v>23</v>
      </c>
      <c r="C20" s="32"/>
      <c r="D20" s="21"/>
      <c r="E20" s="42">
        <v>30</v>
      </c>
      <c r="F20" s="21"/>
      <c r="G20" s="32"/>
      <c r="H20" s="21"/>
      <c r="I20" s="21"/>
      <c r="J20" s="21"/>
      <c r="K20" s="21"/>
      <c r="L20" s="21"/>
      <c r="M20" s="32"/>
      <c r="N20" s="21"/>
    </row>
    <row r="21" spans="1:15" ht="21" customHeight="1" x14ac:dyDescent="0.2">
      <c r="A21" s="1"/>
      <c r="B21" s="12" t="s">
        <v>31</v>
      </c>
      <c r="C21" s="32"/>
      <c r="D21" s="21"/>
      <c r="E21" s="42">
        <v>30</v>
      </c>
      <c r="F21" s="21"/>
      <c r="G21" s="32"/>
      <c r="H21" s="21"/>
      <c r="I21" s="21"/>
      <c r="J21" s="21"/>
      <c r="K21" s="21"/>
      <c r="L21" s="21"/>
      <c r="M21" s="32"/>
      <c r="N21" s="21"/>
    </row>
    <row r="22" spans="1:15" ht="21" customHeight="1" x14ac:dyDescent="0.2">
      <c r="A22" s="1"/>
      <c r="B22" s="12" t="s">
        <v>49</v>
      </c>
      <c r="C22" s="32"/>
      <c r="D22" s="21"/>
      <c r="E22" s="42">
        <v>200</v>
      </c>
      <c r="F22" s="21"/>
      <c r="G22" s="32"/>
      <c r="H22" s="21"/>
      <c r="I22" s="21"/>
      <c r="J22" s="21"/>
      <c r="K22" s="21"/>
      <c r="L22" s="21"/>
      <c r="M22" s="32"/>
      <c r="N22" s="21"/>
    </row>
    <row r="23" spans="1:15" ht="21" customHeight="1" x14ac:dyDescent="0.2">
      <c r="A23" s="1"/>
      <c r="B23" s="12" t="s">
        <v>96</v>
      </c>
      <c r="C23" s="32"/>
      <c r="D23" s="21"/>
      <c r="E23" s="42">
        <v>300</v>
      </c>
      <c r="F23" s="21"/>
      <c r="G23" s="32"/>
      <c r="H23" s="21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2"/>
      <c r="C24" s="32"/>
      <c r="D24" s="21"/>
      <c r="E24" s="32"/>
      <c r="F24" s="21"/>
      <c r="G24" s="32"/>
      <c r="H24" s="21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5" t="s">
        <v>24</v>
      </c>
      <c r="C25" s="32"/>
      <c r="D25" s="21"/>
      <c r="E25" s="32"/>
      <c r="F25" s="21"/>
      <c r="G25" s="32"/>
      <c r="H25" s="21"/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2" t="s">
        <v>48</v>
      </c>
      <c r="C26" s="32"/>
      <c r="D26" s="21"/>
      <c r="E26" s="42">
        <v>215</v>
      </c>
      <c r="F26" s="21"/>
      <c r="G26" s="32"/>
      <c r="H26" s="21"/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 t="s">
        <v>87</v>
      </c>
      <c r="C27" s="32"/>
      <c r="D27" s="21"/>
      <c r="E27" s="42">
        <v>100</v>
      </c>
      <c r="F27" s="21"/>
      <c r="G27" s="32"/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2" t="s">
        <v>88</v>
      </c>
      <c r="C28" s="32"/>
      <c r="D28" s="21"/>
      <c r="E28" s="42">
        <v>100</v>
      </c>
      <c r="F28" s="21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2"/>
      <c r="C29" s="32"/>
      <c r="D29" s="21"/>
      <c r="E29" s="32"/>
      <c r="F29" s="21"/>
      <c r="G29" s="32"/>
      <c r="H29" s="21"/>
      <c r="I29" s="21"/>
      <c r="J29" s="21"/>
      <c r="K29" s="21"/>
      <c r="L29" s="21"/>
      <c r="M29" s="32"/>
      <c r="N29" s="21"/>
      <c r="O29" s="14"/>
    </row>
    <row r="30" spans="1:15" ht="21" customHeight="1" x14ac:dyDescent="0.2">
      <c r="B30" s="15" t="s">
        <v>27</v>
      </c>
      <c r="C30" s="32"/>
      <c r="D30" s="21"/>
      <c r="E30" s="32"/>
      <c r="F30" s="21"/>
      <c r="G30" s="32"/>
      <c r="H30" s="21"/>
      <c r="I30" s="21"/>
      <c r="J30" s="21"/>
      <c r="K30" s="21"/>
      <c r="L30" s="21"/>
      <c r="M30" s="32"/>
      <c r="N30" s="21"/>
    </row>
    <row r="31" spans="1:15" ht="21" customHeight="1" x14ac:dyDescent="0.2">
      <c r="B31" s="12" t="s">
        <v>50</v>
      </c>
      <c r="C31" s="32"/>
      <c r="D31" s="21"/>
      <c r="E31" s="42">
        <v>40</v>
      </c>
      <c r="F31" s="21"/>
      <c r="G31" s="32"/>
      <c r="H31" s="21"/>
      <c r="I31" s="21"/>
      <c r="J31" s="21"/>
      <c r="K31" s="21"/>
      <c r="L31" s="21"/>
      <c r="M31" s="32"/>
      <c r="N31" s="21"/>
    </row>
    <row r="32" spans="1:15" ht="21" customHeight="1" x14ac:dyDescent="0.2">
      <c r="B32" s="12" t="s">
        <v>51</v>
      </c>
      <c r="C32" s="21"/>
      <c r="D32" s="21"/>
      <c r="E32" s="42">
        <v>30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2:15" ht="21" customHeight="1" x14ac:dyDescent="0.2">
      <c r="B33" s="1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5" ht="21" customHeight="1" x14ac:dyDescent="0.2">
      <c r="B34" s="34" t="s">
        <v>16</v>
      </c>
      <c r="C34" s="36">
        <f>SUBTOTAL(109,tblDespesas6912152118242730333636[JAN])</f>
        <v>0</v>
      </c>
      <c r="D34" s="36">
        <f>SUBTOTAL(109,tblDespesas6912152118242730333636[FEV])</f>
        <v>0</v>
      </c>
      <c r="E34" s="36">
        <f>SUBTOTAL(109,tblDespesas6912152118242730333636[MAR])</f>
        <v>1340</v>
      </c>
      <c r="F34" s="36">
        <f>SUBTOTAL(109,tblDespesas6912152118242730333636[ABR])</f>
        <v>0</v>
      </c>
      <c r="G34" s="36">
        <f>SUBTOTAL(109,tblDespesas6912152118242730333636[MAI])</f>
        <v>0</v>
      </c>
      <c r="H34" s="36">
        <f>SUBTOTAL(109,tblDespesas6912152118242730333636[JUN])</f>
        <v>0</v>
      </c>
      <c r="I34" s="36">
        <f>SUBTOTAL(109,tblDespesas6912152118242730333636[JUL])</f>
        <v>0</v>
      </c>
      <c r="J34" s="36">
        <f>SUBTOTAL(109,tblDespesas6912152118242730333636[AGO])</f>
        <v>0</v>
      </c>
      <c r="K34" s="36">
        <f>SUBTOTAL(109,tblDespesas6912152118242730333636[SET])</f>
        <v>0</v>
      </c>
      <c r="L34" s="36">
        <f>SUBTOTAL(109,tblDespesas6912152118242730333636[OUT])</f>
        <v>0</v>
      </c>
      <c r="M34" s="36">
        <f>SUBTOTAL(109,tblDespesas6912152118242730333636[NOV])</f>
        <v>0</v>
      </c>
      <c r="N34" s="36">
        <f>SUBTOTAL(109,tblDespesas6912152118242730333636[DEZ])</f>
        <v>0</v>
      </c>
    </row>
    <row r="35" spans="2:15" ht="21" customHeight="1" x14ac:dyDescent="0.2">
      <c r="B35" s="1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5" ht="21" customHeight="1" x14ac:dyDescent="0.2">
      <c r="B36" s="31"/>
      <c r="C36" s="30"/>
    </row>
    <row r="37" spans="2:15" ht="21" customHeight="1" x14ac:dyDescent="0.2">
      <c r="B37" s="38"/>
    </row>
    <row r="38" spans="2:15" ht="21" customHeight="1" x14ac:dyDescent="0.2">
      <c r="B38" s="37"/>
    </row>
    <row r="39" spans="2:15" ht="21" customHeight="1" x14ac:dyDescent="0.2">
      <c r="B39" s="37"/>
      <c r="O39" s="19"/>
    </row>
    <row r="40" spans="2:15" ht="21" customHeight="1" x14ac:dyDescent="0.2">
      <c r="B40" s="37"/>
    </row>
    <row r="41" spans="2:15" ht="21" customHeight="1" x14ac:dyDescent="0.2">
      <c r="B41" s="29"/>
    </row>
    <row r="42" spans="2:15" ht="21" customHeight="1" x14ac:dyDescent="0.2">
      <c r="B42" s="33"/>
      <c r="C42" s="33"/>
      <c r="D42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41"/>
  <sheetViews>
    <sheetView showGridLines="0" topLeftCell="A10" zoomScale="90" zoomScaleNormal="90" workbookViewId="0">
      <selection activeCell="H28" sqref="H28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tblRenda58111420172326293235258[[#Totals],[JAN]]-tblDespesas69121521182427303336369[[#Totals],[JAN]]</f>
        <v>0</v>
      </c>
      <c r="D5" s="22">
        <f>tblRenda58111420172326293235258[[#Totals],[FEV]]-tblDespesas69121521182427303336369[[#Totals],[FEV]]</f>
        <v>0</v>
      </c>
      <c r="E5" s="22">
        <f>tblRenda58111420172326293235258[[#Totals],[MAR]]-tblDespesas69121521182427303336369[[#Totals],[MAR]]</f>
        <v>0</v>
      </c>
      <c r="F5" s="22">
        <f>tblRenda58111420172326293235258[[#Totals],[ABR]]-tblDespesas69121521182427303336369[[#Totals],[ABR]]</f>
        <v>-300</v>
      </c>
      <c r="G5" s="22">
        <f>tblRenda58111420172326293235258[[#Totals],[MAI]]-tblDespesas69121521182427303336369[[#Totals],[MAI]]</f>
        <v>0</v>
      </c>
      <c r="H5" s="22">
        <f>tblRenda58111420172326293235258[[#Totals],[JUN]]-tblDespesas69121521182427303336369[[#Totals],[JUN]]</f>
        <v>0</v>
      </c>
      <c r="I5" s="22">
        <f>tblRenda58111420172326293235258[[#Totals],[JUL]]-tblDespesas69121521182427303336369[[#Totals],[JUL]]</f>
        <v>0</v>
      </c>
      <c r="J5" s="22">
        <f>tblRenda58111420172326293235258[[#Totals],[AGO]]-tblDespesas69121521182427303336369[[#Totals],[AGO]]</f>
        <v>0</v>
      </c>
      <c r="K5" s="22">
        <f>tblRenda58111420172326293235258[[#Totals],[SET]]-tblDespesas69121521182427303336369[[#Totals],[SET]]</f>
        <v>0</v>
      </c>
      <c r="L5" s="22">
        <f>tblRenda58111420172326293235258[[#Totals],[OUT]]-tblDespesas69121521182427303336369[[#Totals],[OUT]]</f>
        <v>0</v>
      </c>
      <c r="M5" s="22">
        <f>tblRenda58111420172326293235258[[#Totals],[NOV]]-tblDespesas69121521182427303336369[[#Totals],[NOV]]</f>
        <v>0</v>
      </c>
      <c r="N5" s="22">
        <f>tblRenda58111420172326293235258[[#Totals],[DEZ]]-tblDespesas69121521182427303336369[[#Totals],[DEZ]]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37</v>
      </c>
      <c r="C9" s="32"/>
      <c r="D9" s="21"/>
      <c r="E9" s="21"/>
      <c r="F9" s="42">
        <v>855</v>
      </c>
      <c r="G9" s="32"/>
      <c r="H9" s="21"/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SUBTOTAL(109,tblRenda58111420172326293235258[JAN])</f>
        <v>0</v>
      </c>
      <c r="D13" s="35">
        <f>SUBTOTAL(109,tblRenda58111420172326293235258[FEV])</f>
        <v>0</v>
      </c>
      <c r="E13" s="35">
        <f>SUBTOTAL(109,tblRenda58111420172326293235258[MAR])</f>
        <v>0</v>
      </c>
      <c r="F13" s="35">
        <f>SUBTOTAL(109,tblRenda58111420172326293235258[ABR])</f>
        <v>855</v>
      </c>
      <c r="G13" s="35">
        <f>SUBTOTAL(109,tblRenda58111420172326293235258[MAI])</f>
        <v>0</v>
      </c>
      <c r="H13" s="35">
        <f>SUBTOTAL(109,tblRenda58111420172326293235258[JUN])</f>
        <v>0</v>
      </c>
      <c r="I13" s="35">
        <f>SUBTOTAL(109,tblRenda58111420172326293235258[JUL])</f>
        <v>0</v>
      </c>
      <c r="J13" s="35">
        <f>SUBTOTAL(109,tblRenda58111420172326293235258[AGO])</f>
        <v>0</v>
      </c>
      <c r="K13" s="35">
        <f>SUBTOTAL(109,tblRenda58111420172326293235258[SET])</f>
        <v>0</v>
      </c>
      <c r="L13" s="35">
        <f>SUBTOTAL(109,tblRenda58111420172326293235258[OUT])</f>
        <v>0</v>
      </c>
      <c r="M13" s="35">
        <f>SUBTOTAL(109,tblRenda58111420172326293235258[NOV])</f>
        <v>0</v>
      </c>
      <c r="N13" s="35">
        <f>SUBTOTAL(109,tblRenda58111420172326293235258[DEZ])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41</v>
      </c>
      <c r="C17" s="32"/>
      <c r="D17" s="21"/>
      <c r="E17" s="21"/>
      <c r="F17" s="42">
        <v>170</v>
      </c>
      <c r="G17" s="21"/>
      <c r="H17" s="21"/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40</v>
      </c>
      <c r="C18" s="32"/>
      <c r="D18" s="21"/>
      <c r="E18" s="32"/>
      <c r="F18" s="42">
        <v>95</v>
      </c>
      <c r="G18" s="32"/>
      <c r="H18" s="21"/>
      <c r="I18" s="21"/>
      <c r="J18" s="21"/>
      <c r="K18" s="21"/>
      <c r="L18" s="21"/>
      <c r="M18" s="32"/>
      <c r="N18" s="21"/>
    </row>
    <row r="19" spans="1:15" ht="21" customHeight="1" x14ac:dyDescent="0.2">
      <c r="A19" s="1"/>
      <c r="B19" s="12" t="s">
        <v>22</v>
      </c>
      <c r="C19" s="32"/>
      <c r="D19" s="21"/>
      <c r="E19" s="32"/>
      <c r="F19" s="42">
        <v>30</v>
      </c>
      <c r="G19" s="32"/>
      <c r="H19" s="21"/>
      <c r="I19" s="21"/>
      <c r="J19" s="21"/>
      <c r="K19" s="21"/>
      <c r="L19" s="21"/>
      <c r="M19" s="32"/>
      <c r="N19" s="21"/>
    </row>
    <row r="20" spans="1:15" ht="21" customHeight="1" x14ac:dyDescent="0.2">
      <c r="A20" s="1"/>
      <c r="B20" s="12" t="s">
        <v>23</v>
      </c>
      <c r="C20" s="32"/>
      <c r="D20" s="21"/>
      <c r="E20" s="32"/>
      <c r="F20" s="42">
        <v>30</v>
      </c>
      <c r="G20" s="32"/>
      <c r="H20" s="21"/>
      <c r="I20" s="21"/>
      <c r="J20" s="21"/>
      <c r="K20" s="21"/>
      <c r="L20" s="21"/>
      <c r="M20" s="32"/>
      <c r="N20" s="21"/>
    </row>
    <row r="21" spans="1:15" ht="21" customHeight="1" x14ac:dyDescent="0.2">
      <c r="A21" s="1"/>
      <c r="B21" s="12" t="s">
        <v>31</v>
      </c>
      <c r="C21" s="32"/>
      <c r="D21" s="21"/>
      <c r="E21" s="32"/>
      <c r="F21" s="42">
        <v>30</v>
      </c>
      <c r="G21" s="32"/>
      <c r="H21" s="21"/>
      <c r="I21" s="21"/>
      <c r="J21" s="21"/>
      <c r="K21" s="21"/>
      <c r="L21" s="21"/>
      <c r="M21" s="32"/>
      <c r="N21" s="21"/>
    </row>
    <row r="22" spans="1:15" ht="21" customHeight="1" x14ac:dyDescent="0.2">
      <c r="A22" s="1"/>
      <c r="B22" s="12" t="s">
        <v>49</v>
      </c>
      <c r="C22" s="32"/>
      <c r="D22" s="21"/>
      <c r="E22" s="32"/>
      <c r="F22" s="42">
        <v>200</v>
      </c>
      <c r="G22" s="32"/>
      <c r="H22" s="21"/>
      <c r="I22" s="21"/>
      <c r="J22" s="21"/>
      <c r="K22" s="21"/>
      <c r="L22" s="21"/>
      <c r="M22" s="32"/>
      <c r="N22" s="21"/>
    </row>
    <row r="23" spans="1:15" ht="21" customHeight="1" x14ac:dyDescent="0.2">
      <c r="A23" s="1"/>
      <c r="B23" s="12" t="s">
        <v>96</v>
      </c>
      <c r="C23" s="32"/>
      <c r="D23" s="21"/>
      <c r="E23" s="32"/>
      <c r="F23" s="42">
        <v>300</v>
      </c>
      <c r="G23" s="32"/>
      <c r="H23" s="21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2"/>
      <c r="C24" s="32"/>
      <c r="D24" s="21"/>
      <c r="E24" s="32"/>
      <c r="F24" s="32"/>
      <c r="G24" s="32"/>
      <c r="H24" s="21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5" t="s">
        <v>24</v>
      </c>
      <c r="C25" s="32"/>
      <c r="D25" s="21"/>
      <c r="E25" s="32"/>
      <c r="F25" s="32"/>
      <c r="G25" s="32"/>
      <c r="H25" s="21"/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2" t="s">
        <v>85</v>
      </c>
      <c r="C26" s="32"/>
      <c r="D26" s="21"/>
      <c r="E26" s="32"/>
      <c r="F26" s="42">
        <v>100</v>
      </c>
      <c r="G26" s="32"/>
      <c r="H26" s="21"/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 t="s">
        <v>86</v>
      </c>
      <c r="C27" s="32"/>
      <c r="D27" s="21"/>
      <c r="E27" s="32"/>
      <c r="F27" s="42">
        <v>100</v>
      </c>
      <c r="G27" s="32"/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2"/>
      <c r="C28" s="32"/>
      <c r="D28" s="21"/>
      <c r="E28" s="32"/>
      <c r="F28" s="21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5" t="s">
        <v>27</v>
      </c>
      <c r="C29" s="32"/>
      <c r="D29" s="21"/>
      <c r="E29" s="32"/>
      <c r="F29" s="21"/>
      <c r="G29" s="32"/>
      <c r="H29" s="21"/>
      <c r="I29" s="21"/>
      <c r="J29" s="21"/>
      <c r="K29" s="21"/>
      <c r="L29" s="21"/>
      <c r="M29" s="32"/>
      <c r="N29" s="21"/>
      <c r="O29" s="14"/>
    </row>
    <row r="30" spans="1:15" ht="21" customHeight="1" x14ac:dyDescent="0.2">
      <c r="B30" s="12" t="s">
        <v>52</v>
      </c>
      <c r="C30" s="21"/>
      <c r="D30" s="21"/>
      <c r="E30" s="21"/>
      <c r="F30" s="42">
        <v>30</v>
      </c>
      <c r="G30" s="21"/>
      <c r="H30" s="21"/>
      <c r="I30" s="21"/>
      <c r="J30" s="21"/>
      <c r="K30" s="21"/>
      <c r="L30" s="21"/>
      <c r="M30" s="21"/>
      <c r="N30" s="21"/>
    </row>
    <row r="31" spans="1:15" ht="21" customHeight="1" x14ac:dyDescent="0.2">
      <c r="B31" s="12" t="s">
        <v>53</v>
      </c>
      <c r="C31" s="21"/>
      <c r="D31" s="21"/>
      <c r="E31" s="21"/>
      <c r="F31" s="42">
        <v>70</v>
      </c>
      <c r="G31" s="21"/>
      <c r="H31" s="21"/>
      <c r="I31" s="21"/>
      <c r="J31" s="21"/>
      <c r="K31" s="21"/>
      <c r="L31" s="21"/>
      <c r="M31" s="21"/>
      <c r="N31" s="21"/>
    </row>
    <row r="32" spans="1:15" ht="21" customHeight="1" x14ac:dyDescent="0.2">
      <c r="B32" s="1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5" ht="21" customHeight="1" x14ac:dyDescent="0.2">
      <c r="B33" s="34" t="s">
        <v>16</v>
      </c>
      <c r="C33" s="36">
        <f>SUBTOTAL(109,tblDespesas69121521182427303336369[JAN])</f>
        <v>0</v>
      </c>
      <c r="D33" s="36">
        <f>SUBTOTAL(109,tblDespesas69121521182427303336369[FEV])</f>
        <v>0</v>
      </c>
      <c r="E33" s="36">
        <f>SUBTOTAL(109,tblDespesas69121521182427303336369[MAR])</f>
        <v>0</v>
      </c>
      <c r="F33" s="36">
        <f>SUBTOTAL(109,tblDespesas69121521182427303336369[ABR])</f>
        <v>1155</v>
      </c>
      <c r="G33" s="36">
        <f>SUBTOTAL(109,tblDespesas69121521182427303336369[MAI])</f>
        <v>0</v>
      </c>
      <c r="H33" s="36">
        <f>SUBTOTAL(109,tblDespesas69121521182427303336369[JUN])</f>
        <v>0</v>
      </c>
      <c r="I33" s="36">
        <f>SUBTOTAL(109,tblDespesas69121521182427303336369[JUL])</f>
        <v>0</v>
      </c>
      <c r="J33" s="36">
        <f>SUBTOTAL(109,tblDespesas69121521182427303336369[AGO])</f>
        <v>0</v>
      </c>
      <c r="K33" s="36">
        <f>SUBTOTAL(109,tblDespesas69121521182427303336369[SET])</f>
        <v>0</v>
      </c>
      <c r="L33" s="36">
        <f>SUBTOTAL(109,tblDespesas69121521182427303336369[OUT])</f>
        <v>0</v>
      </c>
      <c r="M33" s="36">
        <f>SUBTOTAL(109,tblDespesas69121521182427303336369[NOV])</f>
        <v>0</v>
      </c>
      <c r="N33" s="36">
        <f>SUBTOTAL(109,tblDespesas69121521182427303336369[DEZ])</f>
        <v>0</v>
      </c>
    </row>
    <row r="34" spans="2:15" ht="21" customHeight="1" x14ac:dyDescent="0.2">
      <c r="B34" s="1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5" ht="21" customHeight="1" x14ac:dyDescent="0.2">
      <c r="B35" s="31"/>
      <c r="C35" s="30"/>
    </row>
    <row r="36" spans="2:15" ht="21" customHeight="1" x14ac:dyDescent="0.2">
      <c r="B36" s="38"/>
    </row>
    <row r="37" spans="2:15" ht="21" customHeight="1" x14ac:dyDescent="0.2">
      <c r="B37" s="37"/>
    </row>
    <row r="38" spans="2:15" ht="21" customHeight="1" x14ac:dyDescent="0.2">
      <c r="B38" s="37"/>
    </row>
    <row r="39" spans="2:15" ht="21" customHeight="1" x14ac:dyDescent="0.2">
      <c r="B39" s="37"/>
      <c r="O39" s="19"/>
    </row>
    <row r="40" spans="2:15" ht="21" customHeight="1" x14ac:dyDescent="0.2">
      <c r="B40" s="29"/>
    </row>
    <row r="41" spans="2:15" ht="21" customHeight="1" x14ac:dyDescent="0.2">
      <c r="B41" s="33"/>
      <c r="C41" s="33"/>
      <c r="D41" s="3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39"/>
  <sheetViews>
    <sheetView showGridLines="0" topLeftCell="A10" zoomScale="90" zoomScaleNormal="90" workbookViewId="0">
      <selection activeCell="H25" sqref="H25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tblRenda5811142017232629323525811[[#Totals],[JAN]]-tblDespesas6912152118242730333636912[[#Totals],[JAN]]</f>
        <v>0</v>
      </c>
      <c r="D5" s="22">
        <f>tblRenda5811142017232629323525811[[#Totals],[FEV]]-tblDespesas6912152118242730333636912[[#Totals],[FEV]]</f>
        <v>0</v>
      </c>
      <c r="E5" s="22">
        <f>tblRenda5811142017232629323525811[[#Totals],[MAR]]-tblDespesas6912152118242730333636912[[#Totals],[MAR]]</f>
        <v>0</v>
      </c>
      <c r="F5" s="22">
        <f>tblRenda5811142017232629323525811[[#Totals],[ABR]]-tblDespesas6912152118242730333636912[[#Totals],[ABR]]</f>
        <v>0</v>
      </c>
      <c r="G5" s="22">
        <f>tblRenda5811142017232629323525811[[#Totals],[MAI]]-tblDespesas6912152118242730333636912[[#Totals],[MAI]]</f>
        <v>-200</v>
      </c>
      <c r="H5" s="22">
        <f>tblRenda5811142017232629323525811[[#Totals],[JUN]]-tblDespesas6912152118242730333636912[[#Totals],[JUN]]</f>
        <v>0</v>
      </c>
      <c r="I5" s="22">
        <f>tblRenda5811142017232629323525811[[#Totals],[JUL]]-tblDespesas6912152118242730333636912[[#Totals],[JUL]]</f>
        <v>0</v>
      </c>
      <c r="J5" s="22">
        <f>tblRenda5811142017232629323525811[[#Totals],[AGO]]-tblDespesas6912152118242730333636912[[#Totals],[AGO]]</f>
        <v>0</v>
      </c>
      <c r="K5" s="22">
        <f>tblRenda5811142017232629323525811[[#Totals],[SET]]-tblDespesas6912152118242730333636912[[#Totals],[SET]]</f>
        <v>0</v>
      </c>
      <c r="L5" s="22">
        <f>tblRenda5811142017232629323525811[[#Totals],[OUT]]-tblDespesas6912152118242730333636912[[#Totals],[OUT]]</f>
        <v>0</v>
      </c>
      <c r="M5" s="22">
        <f>tblRenda5811142017232629323525811[[#Totals],[NOV]]-tblDespesas6912152118242730333636912[[#Totals],[NOV]]</f>
        <v>0</v>
      </c>
      <c r="N5" s="22">
        <f>tblRenda5811142017232629323525811[[#Totals],[DEZ]]-tblDespesas6912152118242730333636912[[#Totals],[DEZ]]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37</v>
      </c>
      <c r="C9" s="32"/>
      <c r="D9" s="21"/>
      <c r="E9" s="21"/>
      <c r="F9" s="32"/>
      <c r="G9" s="42">
        <v>855</v>
      </c>
      <c r="H9" s="21"/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SUBTOTAL(109,tblRenda5811142017232629323525811[JAN])</f>
        <v>0</v>
      </c>
      <c r="D13" s="35">
        <f>SUBTOTAL(109,tblRenda5811142017232629323525811[FEV])</f>
        <v>0</v>
      </c>
      <c r="E13" s="35">
        <f>SUBTOTAL(109,tblRenda5811142017232629323525811[MAR])</f>
        <v>0</v>
      </c>
      <c r="F13" s="35">
        <f>SUBTOTAL(109,tblRenda5811142017232629323525811[ABR])</f>
        <v>0</v>
      </c>
      <c r="G13" s="35">
        <f>SUBTOTAL(109,tblRenda5811142017232629323525811[MAI])</f>
        <v>855</v>
      </c>
      <c r="H13" s="35">
        <f>SUBTOTAL(109,tblRenda5811142017232629323525811[JUN])</f>
        <v>0</v>
      </c>
      <c r="I13" s="35">
        <f>SUBTOTAL(109,tblRenda5811142017232629323525811[JUL])</f>
        <v>0</v>
      </c>
      <c r="J13" s="35">
        <f>SUBTOTAL(109,tblRenda5811142017232629323525811[AGO])</f>
        <v>0</v>
      </c>
      <c r="K13" s="35">
        <f>SUBTOTAL(109,tblRenda5811142017232629323525811[SET])</f>
        <v>0</v>
      </c>
      <c r="L13" s="35">
        <f>SUBTOTAL(109,tblRenda5811142017232629323525811[OUT])</f>
        <v>0</v>
      </c>
      <c r="M13" s="35">
        <f>SUBTOTAL(109,tblRenda5811142017232629323525811[NOV])</f>
        <v>0</v>
      </c>
      <c r="N13" s="35">
        <f>SUBTOTAL(109,tblRenda5811142017232629323525811[DEZ])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41</v>
      </c>
      <c r="C17" s="32"/>
      <c r="D17" s="21"/>
      <c r="E17" s="21"/>
      <c r="F17" s="32"/>
      <c r="G17" s="42">
        <v>170</v>
      </c>
      <c r="H17" s="21"/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40</v>
      </c>
      <c r="C18" s="32"/>
      <c r="D18" s="21"/>
      <c r="E18" s="32"/>
      <c r="F18" s="32"/>
      <c r="G18" s="42">
        <v>95</v>
      </c>
      <c r="H18" s="21"/>
      <c r="I18" s="21"/>
      <c r="J18" s="21"/>
      <c r="K18" s="21"/>
      <c r="L18" s="21"/>
      <c r="M18" s="32"/>
      <c r="N18" s="21"/>
    </row>
    <row r="19" spans="1:15" ht="21" customHeight="1" x14ac:dyDescent="0.2">
      <c r="A19" s="1"/>
      <c r="B19" s="12" t="s">
        <v>22</v>
      </c>
      <c r="C19" s="32"/>
      <c r="D19" s="21"/>
      <c r="E19" s="32"/>
      <c r="F19" s="32"/>
      <c r="G19" s="42">
        <v>30</v>
      </c>
      <c r="H19" s="21"/>
      <c r="I19" s="21"/>
      <c r="J19" s="21"/>
      <c r="K19" s="21"/>
      <c r="L19" s="21"/>
      <c r="M19" s="32"/>
      <c r="N19" s="21"/>
    </row>
    <row r="20" spans="1:15" ht="21" customHeight="1" x14ac:dyDescent="0.2">
      <c r="A20" s="1"/>
      <c r="B20" s="12" t="s">
        <v>23</v>
      </c>
      <c r="C20" s="32"/>
      <c r="D20" s="21"/>
      <c r="E20" s="32"/>
      <c r="F20" s="32"/>
      <c r="G20" s="42">
        <v>30</v>
      </c>
      <c r="H20" s="21"/>
      <c r="I20" s="21"/>
      <c r="J20" s="21"/>
      <c r="K20" s="21"/>
      <c r="L20" s="21"/>
      <c r="M20" s="32"/>
      <c r="N20" s="21"/>
    </row>
    <row r="21" spans="1:15" ht="21" customHeight="1" x14ac:dyDescent="0.2">
      <c r="A21" s="1"/>
      <c r="B21" s="12" t="s">
        <v>31</v>
      </c>
      <c r="C21" s="32"/>
      <c r="D21" s="21"/>
      <c r="E21" s="32"/>
      <c r="F21" s="32"/>
      <c r="G21" s="42">
        <v>30</v>
      </c>
      <c r="H21" s="21"/>
      <c r="I21" s="21"/>
      <c r="J21" s="21"/>
      <c r="K21" s="21"/>
      <c r="L21" s="21"/>
      <c r="M21" s="32"/>
      <c r="N21" s="21"/>
    </row>
    <row r="22" spans="1:15" ht="21" customHeight="1" x14ac:dyDescent="0.2">
      <c r="A22" s="1"/>
      <c r="B22" s="12" t="s">
        <v>49</v>
      </c>
      <c r="C22" s="32"/>
      <c r="D22" s="21"/>
      <c r="E22" s="32"/>
      <c r="F22" s="32"/>
      <c r="G22" s="42">
        <v>200</v>
      </c>
      <c r="H22" s="21"/>
      <c r="I22" s="21"/>
      <c r="J22" s="21"/>
      <c r="K22" s="21"/>
      <c r="L22" s="21"/>
      <c r="M22" s="32"/>
      <c r="N22" s="21"/>
    </row>
    <row r="23" spans="1:15" ht="21" customHeight="1" x14ac:dyDescent="0.2">
      <c r="A23" s="1"/>
      <c r="B23" s="12" t="s">
        <v>96</v>
      </c>
      <c r="C23" s="32"/>
      <c r="D23" s="21"/>
      <c r="E23" s="32"/>
      <c r="F23" s="32"/>
      <c r="G23" s="42">
        <v>300</v>
      </c>
      <c r="H23" s="21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2"/>
      <c r="C24" s="32"/>
      <c r="D24" s="21"/>
      <c r="E24" s="32"/>
      <c r="F24" s="32"/>
      <c r="G24" s="32"/>
      <c r="H24" s="21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5" t="s">
        <v>24</v>
      </c>
      <c r="C25" s="32"/>
      <c r="D25" s="21"/>
      <c r="E25" s="32"/>
      <c r="F25" s="32"/>
      <c r="G25" s="32"/>
      <c r="H25" s="21"/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2" t="s">
        <v>83</v>
      </c>
      <c r="C26" s="32"/>
      <c r="D26" s="21"/>
      <c r="E26" s="32"/>
      <c r="F26" s="32"/>
      <c r="G26" s="42">
        <v>100</v>
      </c>
      <c r="H26" s="21"/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 t="s">
        <v>84</v>
      </c>
      <c r="C27" s="32"/>
      <c r="D27" s="21"/>
      <c r="E27" s="32"/>
      <c r="F27" s="32"/>
      <c r="G27" s="42">
        <v>100</v>
      </c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2"/>
      <c r="C28" s="32"/>
      <c r="D28" s="21"/>
      <c r="E28" s="32"/>
      <c r="F28" s="32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5" t="s">
        <v>27</v>
      </c>
      <c r="C29" s="32"/>
      <c r="D29" s="21"/>
      <c r="E29" s="32"/>
      <c r="F29" s="32"/>
      <c r="G29" s="32"/>
      <c r="H29" s="21"/>
      <c r="I29" s="21"/>
      <c r="J29" s="21"/>
      <c r="K29" s="21"/>
      <c r="L29" s="21"/>
      <c r="M29" s="32"/>
      <c r="N29" s="21"/>
      <c r="O29" s="14"/>
    </row>
    <row r="30" spans="1:15" ht="21" customHeight="1" x14ac:dyDescent="0.2">
      <c r="B30" s="1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5" ht="21" customHeight="1" x14ac:dyDescent="0.2">
      <c r="B31" s="34" t="s">
        <v>16</v>
      </c>
      <c r="C31" s="36">
        <f>SUBTOTAL(109,tblDespesas6912152118242730333636912[JAN])</f>
        <v>0</v>
      </c>
      <c r="D31" s="36">
        <f>SUBTOTAL(109,tblDespesas6912152118242730333636912[FEV])</f>
        <v>0</v>
      </c>
      <c r="E31" s="36">
        <f>SUBTOTAL(109,tblDespesas6912152118242730333636912[MAR])</f>
        <v>0</v>
      </c>
      <c r="F31" s="36">
        <f>SUBTOTAL(109,tblDespesas6912152118242730333636912[ABR])</f>
        <v>0</v>
      </c>
      <c r="G31" s="36">
        <f>SUBTOTAL(109,tblDespesas6912152118242730333636912[MAI])</f>
        <v>1055</v>
      </c>
      <c r="H31" s="36">
        <f>SUBTOTAL(109,tblDespesas6912152118242730333636912[JUN])</f>
        <v>0</v>
      </c>
      <c r="I31" s="36">
        <f>SUBTOTAL(109,tblDespesas6912152118242730333636912[JUL])</f>
        <v>0</v>
      </c>
      <c r="J31" s="36">
        <f>SUBTOTAL(109,tblDespesas6912152118242730333636912[AGO])</f>
        <v>0</v>
      </c>
      <c r="K31" s="36">
        <f>SUBTOTAL(109,tblDespesas6912152118242730333636912[SET])</f>
        <v>0</v>
      </c>
      <c r="L31" s="36">
        <f>SUBTOTAL(109,tblDespesas6912152118242730333636912[OUT])</f>
        <v>0</v>
      </c>
      <c r="M31" s="36">
        <f>SUBTOTAL(109,tblDespesas6912152118242730333636912[NOV])</f>
        <v>0</v>
      </c>
      <c r="N31" s="36">
        <f>SUBTOTAL(109,tblDespesas6912152118242730333636912[DEZ])</f>
        <v>0</v>
      </c>
    </row>
    <row r="32" spans="1:15" ht="21" customHeight="1" x14ac:dyDescent="0.2">
      <c r="B32" s="1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5" ht="21" customHeight="1" x14ac:dyDescent="0.2">
      <c r="B33" s="31"/>
      <c r="C33" s="30"/>
    </row>
    <row r="34" spans="2:15" ht="21" customHeight="1" x14ac:dyDescent="0.2">
      <c r="B34" s="38"/>
    </row>
    <row r="35" spans="2:15" ht="21" customHeight="1" x14ac:dyDescent="0.2">
      <c r="B35" s="37"/>
    </row>
    <row r="36" spans="2:15" ht="21" customHeight="1" x14ac:dyDescent="0.2">
      <c r="B36" s="37"/>
    </row>
    <row r="37" spans="2:15" ht="21" customHeight="1" x14ac:dyDescent="0.2">
      <c r="B37" s="37"/>
    </row>
    <row r="38" spans="2:15" ht="21" customHeight="1" x14ac:dyDescent="0.2">
      <c r="B38" s="29"/>
    </row>
    <row r="39" spans="2:15" ht="21" customHeight="1" x14ac:dyDescent="0.2">
      <c r="B39" s="33"/>
      <c r="C39" s="33"/>
      <c r="D39" s="33"/>
      <c r="O39" s="19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39"/>
  <sheetViews>
    <sheetView showGridLines="0" topLeftCell="A4" zoomScale="90" zoomScaleNormal="90" workbookViewId="0">
      <selection activeCell="J20" sqref="J20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tblRenda581114201723262932352581114[[#Totals],[JAN]]-tblDespesas691215211824273033363691215[[#Totals],[JAN]]</f>
        <v>0</v>
      </c>
      <c r="D5" s="22">
        <f>tblRenda581114201723262932352581114[[#Totals],[FEV]]-tblDespesas691215211824273033363691215[[#Totals],[FEV]]</f>
        <v>0</v>
      </c>
      <c r="E5" s="22">
        <f>tblRenda581114201723262932352581114[[#Totals],[MAR]]-tblDespesas691215211824273033363691215[[#Totals],[MAR]]</f>
        <v>0</v>
      </c>
      <c r="F5" s="22">
        <f>tblRenda581114201723262932352581114[[#Totals],[ABR]]-tblDespesas691215211824273033363691215[[#Totals],[ABR]]</f>
        <v>0</v>
      </c>
      <c r="G5" s="22">
        <f>tblRenda581114201723262932352581114[[#Totals],[MAI]]-tblDespesas691215211824273033363691215[[#Totals],[MAI]]</f>
        <v>0</v>
      </c>
      <c r="H5" s="22">
        <f>tblRenda581114201723262932352581114[[#Totals],[JUN]]-tblDespesas691215211824273033363691215[[#Totals],[JUN]]</f>
        <v>950</v>
      </c>
      <c r="I5" s="22">
        <f>tblRenda581114201723262932352581114[[#Totals],[JUL]]-tblDespesas691215211824273033363691215[[#Totals],[JUL]]</f>
        <v>0</v>
      </c>
      <c r="J5" s="22">
        <f>tblRenda581114201723262932352581114[[#Totals],[AGO]]-tblDespesas691215211824273033363691215[[#Totals],[AGO]]</f>
        <v>0</v>
      </c>
      <c r="K5" s="22">
        <f>tblRenda581114201723262932352581114[[#Totals],[SET]]-tblDespesas691215211824273033363691215[[#Totals],[SET]]</f>
        <v>0</v>
      </c>
      <c r="L5" s="22">
        <f>tblRenda581114201723262932352581114[[#Totals],[OUT]]-tblDespesas691215211824273033363691215[[#Totals],[OUT]]</f>
        <v>0</v>
      </c>
      <c r="M5" s="22">
        <f>tblRenda581114201723262932352581114[[#Totals],[NOV]]-tblDespesas691215211824273033363691215[[#Totals],[NOV]]</f>
        <v>0</v>
      </c>
      <c r="N5" s="22">
        <f>tblRenda581114201723262932352581114[[#Totals],[DEZ]]-tblDespesas691215211824273033363691215[[#Totals],[DEZ]]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56</v>
      </c>
      <c r="C9" s="32"/>
      <c r="D9" s="21"/>
      <c r="E9" s="21"/>
      <c r="F9" s="32"/>
      <c r="G9" s="32"/>
      <c r="H9" s="42">
        <v>2000</v>
      </c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SUBTOTAL(109,tblRenda581114201723262932352581114[JAN])</f>
        <v>0</v>
      </c>
      <c r="D13" s="35">
        <f>SUBTOTAL(109,tblRenda581114201723262932352581114[FEV])</f>
        <v>0</v>
      </c>
      <c r="E13" s="35">
        <f>SUBTOTAL(109,tblRenda581114201723262932352581114[MAR])</f>
        <v>0</v>
      </c>
      <c r="F13" s="35">
        <f>SUBTOTAL(109,tblRenda581114201723262932352581114[ABR])</f>
        <v>0</v>
      </c>
      <c r="G13" s="35">
        <f>SUBTOTAL(109,tblRenda581114201723262932352581114[MAI])</f>
        <v>0</v>
      </c>
      <c r="H13" s="35">
        <f>SUBTOTAL(109,tblRenda581114201723262932352581114[JUN])</f>
        <v>2000</v>
      </c>
      <c r="I13" s="35">
        <f>SUBTOTAL(109,tblRenda581114201723262932352581114[JUL])</f>
        <v>0</v>
      </c>
      <c r="J13" s="35">
        <f>SUBTOTAL(109,tblRenda581114201723262932352581114[AGO])</f>
        <v>0</v>
      </c>
      <c r="K13" s="35">
        <f>SUBTOTAL(109,tblRenda581114201723262932352581114[SET])</f>
        <v>0</v>
      </c>
      <c r="L13" s="35">
        <f>SUBTOTAL(109,tblRenda581114201723262932352581114[OUT])</f>
        <v>0</v>
      </c>
      <c r="M13" s="35">
        <f>SUBTOTAL(109,tblRenda581114201723262932352581114[NOV])</f>
        <v>0</v>
      </c>
      <c r="N13" s="35">
        <f>SUBTOTAL(109,tblRenda581114201723262932352581114[DEZ])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55</v>
      </c>
      <c r="C17" s="32"/>
      <c r="D17" s="21"/>
      <c r="E17" s="21"/>
      <c r="F17" s="32"/>
      <c r="G17" s="21"/>
      <c r="H17" s="42">
        <v>170</v>
      </c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42">
        <v>220</v>
      </c>
      <c r="I18" s="21"/>
      <c r="J18" s="21"/>
      <c r="K18" s="21"/>
      <c r="L18" s="21"/>
      <c r="M18" s="21"/>
      <c r="N18" s="21"/>
    </row>
    <row r="19" spans="1:15" ht="21" customHeight="1" x14ac:dyDescent="0.2">
      <c r="A19" s="1"/>
      <c r="B19" s="12" t="s">
        <v>60</v>
      </c>
      <c r="C19" s="32"/>
      <c r="D19" s="21"/>
      <c r="E19" s="21"/>
      <c r="F19" s="32"/>
      <c r="G19" s="21"/>
      <c r="H19" s="42">
        <v>95</v>
      </c>
      <c r="I19" s="21"/>
      <c r="J19" s="21"/>
      <c r="K19" s="21"/>
      <c r="L19" s="21"/>
      <c r="M19" s="21"/>
      <c r="N19" s="21"/>
    </row>
    <row r="20" spans="1:15" ht="21" customHeight="1" x14ac:dyDescent="0.2">
      <c r="A20" s="1"/>
      <c r="B20" s="12" t="s">
        <v>58</v>
      </c>
      <c r="C20" s="32"/>
      <c r="D20" s="21"/>
      <c r="E20" s="21"/>
      <c r="F20" s="32"/>
      <c r="G20" s="21"/>
      <c r="H20" s="42">
        <v>35</v>
      </c>
      <c r="I20" s="21"/>
      <c r="J20" s="21"/>
      <c r="K20" s="21"/>
      <c r="L20" s="21"/>
      <c r="M20" s="21"/>
      <c r="N20" s="21"/>
    </row>
    <row r="21" spans="1:15" ht="21" customHeight="1" x14ac:dyDescent="0.2">
      <c r="A21" s="1"/>
      <c r="B21" s="12" t="s">
        <v>59</v>
      </c>
      <c r="C21" s="32"/>
      <c r="D21" s="21"/>
      <c r="E21" s="32"/>
      <c r="F21" s="32"/>
      <c r="G21" s="32"/>
      <c r="H21" s="42">
        <v>30</v>
      </c>
      <c r="I21" s="21"/>
      <c r="J21" s="21"/>
      <c r="K21" s="21"/>
      <c r="L21" s="21"/>
      <c r="M21" s="32"/>
      <c r="N21" s="21"/>
    </row>
    <row r="22" spans="1:15" ht="21" customHeight="1" x14ac:dyDescent="0.2">
      <c r="A22" s="1"/>
      <c r="B22" s="12" t="s">
        <v>96</v>
      </c>
      <c r="C22" s="32"/>
      <c r="D22" s="21"/>
      <c r="E22" s="32"/>
      <c r="F22" s="32"/>
      <c r="G22" s="32"/>
      <c r="H22" s="42">
        <v>300</v>
      </c>
      <c r="I22" s="21"/>
      <c r="J22" s="21"/>
      <c r="K22" s="21"/>
      <c r="L22" s="21"/>
      <c r="M22" s="32"/>
      <c r="N22" s="21"/>
    </row>
    <row r="23" spans="1:15" ht="21" customHeight="1" x14ac:dyDescent="0.2">
      <c r="A23" s="1"/>
      <c r="B23" s="12"/>
      <c r="C23" s="32"/>
      <c r="D23" s="21"/>
      <c r="E23" s="32"/>
      <c r="F23" s="32"/>
      <c r="G23" s="32"/>
      <c r="H23" s="32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5" t="s">
        <v>24</v>
      </c>
      <c r="C24" s="32"/>
      <c r="D24" s="21"/>
      <c r="E24" s="32"/>
      <c r="F24" s="32"/>
      <c r="G24" s="32"/>
      <c r="H24" s="32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2" t="s">
        <v>81</v>
      </c>
      <c r="C25" s="32"/>
      <c r="D25" s="21"/>
      <c r="E25" s="32"/>
      <c r="F25" s="32"/>
      <c r="G25" s="32"/>
      <c r="H25" s="42">
        <v>100</v>
      </c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2" t="s">
        <v>82</v>
      </c>
      <c r="C26" s="32"/>
      <c r="D26" s="21"/>
      <c r="E26" s="32"/>
      <c r="F26" s="32"/>
      <c r="G26" s="32"/>
      <c r="H26" s="42">
        <v>100</v>
      </c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/>
      <c r="C27" s="32"/>
      <c r="D27" s="21"/>
      <c r="E27" s="32"/>
      <c r="F27" s="32"/>
      <c r="G27" s="32"/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5" t="s">
        <v>27</v>
      </c>
      <c r="C28" s="32"/>
      <c r="D28" s="21"/>
      <c r="E28" s="32"/>
      <c r="F28" s="32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4"/>
    </row>
    <row r="30" spans="1:15" ht="21" customHeight="1" x14ac:dyDescent="0.2">
      <c r="B30" s="1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5" ht="21" customHeight="1" x14ac:dyDescent="0.2">
      <c r="B31" s="34" t="s">
        <v>16</v>
      </c>
      <c r="C31" s="36">
        <f>SUBTOTAL(109,tblDespesas691215211824273033363691215[JAN])</f>
        <v>0</v>
      </c>
      <c r="D31" s="36">
        <f>SUBTOTAL(109,tblDespesas691215211824273033363691215[FEV])</f>
        <v>0</v>
      </c>
      <c r="E31" s="36">
        <f>SUBTOTAL(109,tblDespesas691215211824273033363691215[MAR])</f>
        <v>0</v>
      </c>
      <c r="F31" s="36">
        <f>SUBTOTAL(109,tblDespesas691215211824273033363691215[ABR])</f>
        <v>0</v>
      </c>
      <c r="G31" s="36">
        <f>SUBTOTAL(109,tblDespesas691215211824273033363691215[MAI])</f>
        <v>0</v>
      </c>
      <c r="H31" s="36">
        <f>SUBTOTAL(109,tblDespesas691215211824273033363691215[JUN])</f>
        <v>1050</v>
      </c>
      <c r="I31" s="36">
        <f>SUBTOTAL(109,tblDespesas691215211824273033363691215[JUL])</f>
        <v>0</v>
      </c>
      <c r="J31" s="36">
        <f>SUBTOTAL(109,tblDespesas691215211824273033363691215[AGO])</f>
        <v>0</v>
      </c>
      <c r="K31" s="36">
        <f>SUBTOTAL(109,tblDespesas691215211824273033363691215[SET])</f>
        <v>0</v>
      </c>
      <c r="L31" s="36">
        <f>SUBTOTAL(109,tblDespesas691215211824273033363691215[OUT])</f>
        <v>0</v>
      </c>
      <c r="M31" s="36">
        <f>SUBTOTAL(109,tblDespesas691215211824273033363691215[NOV])</f>
        <v>0</v>
      </c>
      <c r="N31" s="36">
        <f>SUBTOTAL(109,tblDespesas691215211824273033363691215[DEZ])</f>
        <v>0</v>
      </c>
    </row>
    <row r="32" spans="1:15" ht="21" customHeight="1" x14ac:dyDescent="0.2">
      <c r="B32" s="1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5" ht="21" customHeight="1" x14ac:dyDescent="0.2">
      <c r="B33" s="31"/>
      <c r="C33" s="30"/>
    </row>
    <row r="34" spans="2:15" ht="21" customHeight="1" x14ac:dyDescent="0.2">
      <c r="B34" s="38"/>
    </row>
    <row r="35" spans="2:15" ht="21" customHeight="1" x14ac:dyDescent="0.2">
      <c r="B35" s="37"/>
    </row>
    <row r="36" spans="2:15" ht="21" customHeight="1" x14ac:dyDescent="0.2">
      <c r="B36" s="37"/>
    </row>
    <row r="37" spans="2:15" ht="21" customHeight="1" x14ac:dyDescent="0.2">
      <c r="B37" s="37"/>
    </row>
    <row r="38" spans="2:15" ht="21" customHeight="1" x14ac:dyDescent="0.2">
      <c r="B38" s="29"/>
    </row>
    <row r="39" spans="2:15" ht="21" customHeight="1" x14ac:dyDescent="0.2">
      <c r="B39" s="33"/>
      <c r="C39" s="33"/>
      <c r="D39" s="33"/>
      <c r="O39" s="19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39"/>
  <sheetViews>
    <sheetView showGridLines="0" topLeftCell="A4" zoomScale="90" zoomScaleNormal="90" workbookViewId="0">
      <selection activeCell="F18" sqref="F18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tblRenda58111420172326293235258111417[[#Totals],[JAN]]-tblDespesas69121521182427303336369121518[[#Totals],[JAN]]</f>
        <v>0</v>
      </c>
      <c r="D5" s="22">
        <f>tblRenda58111420172326293235258111417[[#Totals],[FEV]]-tblDespesas69121521182427303336369121518[[#Totals],[FEV]]</f>
        <v>0</v>
      </c>
      <c r="E5" s="22">
        <f>tblRenda58111420172326293235258111417[[#Totals],[MAR]]-tblDespesas69121521182427303336369121518[[#Totals],[MAR]]</f>
        <v>0</v>
      </c>
      <c r="F5" s="22">
        <f>tblRenda58111420172326293235258111417[[#Totals],[ABR]]-tblDespesas69121521182427303336369121518[[#Totals],[ABR]]</f>
        <v>0</v>
      </c>
      <c r="G5" s="22">
        <f>tblRenda58111420172326293235258111417[[#Totals],[MAI]]-tblDespesas69121521182427303336369121518[[#Totals],[MAI]]</f>
        <v>0</v>
      </c>
      <c r="H5" s="22">
        <f>tblRenda58111420172326293235258111417[[#Totals],[JUN]]-tblDespesas69121521182427303336369121518[[#Totals],[JUN]]</f>
        <v>950</v>
      </c>
      <c r="I5" s="22">
        <f>tblRenda58111420172326293235258111417[[#Totals],[JUL]]-tblDespesas69121521182427303336369121518[[#Totals],[JUL]]</f>
        <v>0</v>
      </c>
      <c r="J5" s="22">
        <f>tblRenda58111420172326293235258111417[[#Totals],[AGO]]-tblDespesas69121521182427303336369121518[[#Totals],[AGO]]</f>
        <v>0</v>
      </c>
      <c r="K5" s="22">
        <f>tblRenda58111420172326293235258111417[[#Totals],[SET]]-tblDespesas69121521182427303336369121518[[#Totals],[SET]]</f>
        <v>0</v>
      </c>
      <c r="L5" s="22">
        <f>tblRenda58111420172326293235258111417[[#Totals],[OUT]]-tblDespesas69121521182427303336369121518[[#Totals],[OUT]]</f>
        <v>0</v>
      </c>
      <c r="M5" s="22">
        <f>tblRenda58111420172326293235258111417[[#Totals],[NOV]]-tblDespesas69121521182427303336369121518[[#Totals],[NOV]]</f>
        <v>0</v>
      </c>
      <c r="N5" s="22">
        <f>tblRenda58111420172326293235258111417[[#Totals],[DEZ]]-tblDespesas69121521182427303336369121518[[#Totals],[DEZ]]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56</v>
      </c>
      <c r="C9" s="32"/>
      <c r="D9" s="21"/>
      <c r="E9" s="21"/>
      <c r="F9" s="32"/>
      <c r="G9" s="32"/>
      <c r="H9" s="32">
        <v>2000</v>
      </c>
      <c r="I9" s="21"/>
      <c r="J9" s="21"/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SUBTOTAL(109,tblRenda58111420172326293235258111417[JAN])</f>
        <v>0</v>
      </c>
      <c r="D13" s="35">
        <f>SUBTOTAL(109,tblRenda58111420172326293235258111417[FEV])</f>
        <v>0</v>
      </c>
      <c r="E13" s="35">
        <f>SUBTOTAL(109,tblRenda58111420172326293235258111417[MAR])</f>
        <v>0</v>
      </c>
      <c r="F13" s="35">
        <f>SUBTOTAL(109,tblRenda58111420172326293235258111417[ABR])</f>
        <v>0</v>
      </c>
      <c r="G13" s="35">
        <f>SUBTOTAL(109,tblRenda58111420172326293235258111417[MAI])</f>
        <v>0</v>
      </c>
      <c r="H13" s="35">
        <f>SUBTOTAL(109,tblRenda58111420172326293235258111417[JUN])</f>
        <v>2000</v>
      </c>
      <c r="I13" s="35">
        <f>SUBTOTAL(109,tblRenda58111420172326293235258111417[JUL])</f>
        <v>0</v>
      </c>
      <c r="J13" s="35">
        <f>SUBTOTAL(109,tblRenda58111420172326293235258111417[AGO])</f>
        <v>0</v>
      </c>
      <c r="K13" s="35">
        <f>SUBTOTAL(109,tblRenda58111420172326293235258111417[SET])</f>
        <v>0</v>
      </c>
      <c r="L13" s="35">
        <f>SUBTOTAL(109,tblRenda58111420172326293235258111417[OUT])</f>
        <v>0</v>
      </c>
      <c r="M13" s="35">
        <f>SUBTOTAL(109,tblRenda58111420172326293235258111417[NOV])</f>
        <v>0</v>
      </c>
      <c r="N13" s="35">
        <f>SUBTOTAL(109,tblRenda58111420172326293235258111417[DEZ])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5" ht="21" customHeight="1" x14ac:dyDescent="0.2">
      <c r="A17" s="1"/>
      <c r="B17" s="12" t="s">
        <v>55</v>
      </c>
      <c r="C17" s="32"/>
      <c r="D17" s="21"/>
      <c r="E17" s="21"/>
      <c r="F17" s="32"/>
      <c r="G17" s="21"/>
      <c r="H17" s="42">
        <v>170</v>
      </c>
      <c r="I17" s="21"/>
      <c r="J17" s="21"/>
      <c r="K17" s="21"/>
      <c r="L17" s="21"/>
      <c r="M17" s="21"/>
      <c r="N17" s="21"/>
    </row>
    <row r="18" spans="1:15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42">
        <v>220</v>
      </c>
      <c r="I18" s="21"/>
      <c r="J18" s="21"/>
      <c r="K18" s="21"/>
      <c r="L18" s="21"/>
      <c r="M18" s="21"/>
      <c r="N18" s="21"/>
    </row>
    <row r="19" spans="1:15" ht="21" customHeight="1" x14ac:dyDescent="0.2">
      <c r="A19" s="1"/>
      <c r="B19" s="12" t="s">
        <v>60</v>
      </c>
      <c r="C19" s="32"/>
      <c r="D19" s="21"/>
      <c r="E19" s="21"/>
      <c r="F19" s="32"/>
      <c r="G19" s="21"/>
      <c r="H19" s="42">
        <v>95</v>
      </c>
      <c r="I19" s="21"/>
      <c r="J19" s="21"/>
      <c r="K19" s="21"/>
      <c r="L19" s="21"/>
      <c r="M19" s="21"/>
      <c r="N19" s="21"/>
    </row>
    <row r="20" spans="1:15" ht="21" customHeight="1" x14ac:dyDescent="0.2">
      <c r="A20" s="1"/>
      <c r="B20" s="12" t="s">
        <v>58</v>
      </c>
      <c r="C20" s="32"/>
      <c r="D20" s="21"/>
      <c r="E20" s="21"/>
      <c r="F20" s="32"/>
      <c r="G20" s="21"/>
      <c r="H20" s="42">
        <v>35</v>
      </c>
      <c r="I20" s="21"/>
      <c r="J20" s="21"/>
      <c r="K20" s="21"/>
      <c r="L20" s="21"/>
      <c r="M20" s="21"/>
      <c r="N20" s="21"/>
    </row>
    <row r="21" spans="1:15" ht="21" customHeight="1" x14ac:dyDescent="0.2">
      <c r="A21" s="1"/>
      <c r="B21" s="12" t="s">
        <v>59</v>
      </c>
      <c r="C21" s="32"/>
      <c r="D21" s="21"/>
      <c r="E21" s="21"/>
      <c r="F21" s="32"/>
      <c r="G21" s="21"/>
      <c r="H21" s="42">
        <v>30</v>
      </c>
      <c r="I21" s="21"/>
      <c r="J21" s="21"/>
      <c r="K21" s="21"/>
      <c r="L21" s="21"/>
      <c r="M21" s="21"/>
      <c r="N21" s="21"/>
    </row>
    <row r="22" spans="1:15" ht="21" customHeight="1" x14ac:dyDescent="0.2">
      <c r="A22" s="1"/>
      <c r="B22" s="12" t="s">
        <v>96</v>
      </c>
      <c r="C22" s="32"/>
      <c r="D22" s="21"/>
      <c r="E22" s="21"/>
      <c r="F22" s="32"/>
      <c r="G22" s="21"/>
      <c r="H22" s="42">
        <v>300</v>
      </c>
      <c r="I22" s="21"/>
      <c r="J22" s="21"/>
      <c r="K22" s="21"/>
      <c r="L22" s="21"/>
      <c r="M22" s="21"/>
      <c r="N22" s="21"/>
    </row>
    <row r="23" spans="1:15" ht="21" customHeight="1" x14ac:dyDescent="0.2">
      <c r="A23" s="1"/>
      <c r="B23" s="12"/>
      <c r="C23" s="32"/>
      <c r="D23" s="21"/>
      <c r="E23" s="32"/>
      <c r="F23" s="32"/>
      <c r="G23" s="32"/>
      <c r="H23" s="32"/>
      <c r="I23" s="21"/>
      <c r="J23" s="21"/>
      <c r="K23" s="21"/>
      <c r="L23" s="21"/>
      <c r="M23" s="32"/>
      <c r="N23" s="21"/>
    </row>
    <row r="24" spans="1:15" ht="21" customHeight="1" x14ac:dyDescent="0.2">
      <c r="A24" s="1"/>
      <c r="B24" s="15" t="s">
        <v>24</v>
      </c>
      <c r="C24" s="32"/>
      <c r="D24" s="21"/>
      <c r="E24" s="32"/>
      <c r="F24" s="32"/>
      <c r="G24" s="32"/>
      <c r="H24" s="32"/>
      <c r="I24" s="21"/>
      <c r="J24" s="21"/>
      <c r="K24" s="21"/>
      <c r="L24" s="21"/>
      <c r="M24" s="32"/>
      <c r="N24" s="21"/>
    </row>
    <row r="25" spans="1:15" ht="21" customHeight="1" x14ac:dyDescent="0.2">
      <c r="A25" s="1"/>
      <c r="B25" s="12" t="s">
        <v>79</v>
      </c>
      <c r="C25" s="32"/>
      <c r="D25" s="21"/>
      <c r="E25" s="32"/>
      <c r="F25" s="32"/>
      <c r="G25" s="32"/>
      <c r="H25" s="42">
        <v>100</v>
      </c>
      <c r="I25" s="21"/>
      <c r="J25" s="21"/>
      <c r="K25" s="21"/>
      <c r="L25" s="21"/>
      <c r="M25" s="32"/>
      <c r="N25" s="21"/>
    </row>
    <row r="26" spans="1:15" customFormat="1" ht="21" customHeight="1" x14ac:dyDescent="0.2">
      <c r="B26" s="12" t="s">
        <v>80</v>
      </c>
      <c r="C26" s="32"/>
      <c r="D26" s="21"/>
      <c r="E26" s="32"/>
      <c r="F26" s="32"/>
      <c r="G26" s="32"/>
      <c r="H26" s="42">
        <v>100</v>
      </c>
      <c r="I26" s="21"/>
      <c r="J26" s="21"/>
      <c r="K26" s="21"/>
      <c r="L26" s="21"/>
      <c r="M26" s="32"/>
      <c r="N26" s="21"/>
    </row>
    <row r="27" spans="1:15" ht="21" customHeight="1" x14ac:dyDescent="0.2">
      <c r="A27" s="1"/>
      <c r="B27" s="12"/>
      <c r="C27" s="32"/>
      <c r="D27" s="21"/>
      <c r="E27" s="32"/>
      <c r="F27" s="32"/>
      <c r="G27" s="32"/>
      <c r="H27" s="21"/>
      <c r="I27" s="21"/>
      <c r="J27" s="21"/>
      <c r="K27" s="21"/>
      <c r="L27" s="21"/>
      <c r="M27" s="32"/>
      <c r="N27" s="21"/>
    </row>
    <row r="28" spans="1:15" ht="21" customHeight="1" x14ac:dyDescent="0.2">
      <c r="B28" s="15" t="s">
        <v>27</v>
      </c>
      <c r="C28" s="32"/>
      <c r="D28" s="21"/>
      <c r="E28" s="32"/>
      <c r="F28" s="32"/>
      <c r="G28" s="32"/>
      <c r="H28" s="21"/>
      <c r="I28" s="21"/>
      <c r="J28" s="21"/>
      <c r="K28" s="21"/>
      <c r="L28" s="21"/>
      <c r="M28" s="32"/>
      <c r="N28" s="21"/>
    </row>
    <row r="29" spans="1:15" ht="21" customHeight="1" x14ac:dyDescent="0.2">
      <c r="B29" s="1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4"/>
    </row>
    <row r="30" spans="1:15" ht="21" customHeight="1" x14ac:dyDescent="0.2">
      <c r="B30" s="1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5" ht="21" customHeight="1" x14ac:dyDescent="0.2">
      <c r="B31" s="34" t="s">
        <v>16</v>
      </c>
      <c r="C31" s="36">
        <f>SUBTOTAL(109,tblDespesas69121521182427303336369121518[JAN])</f>
        <v>0</v>
      </c>
      <c r="D31" s="36">
        <f>SUBTOTAL(109,tblDespesas69121521182427303336369121518[FEV])</f>
        <v>0</v>
      </c>
      <c r="E31" s="36">
        <f>SUBTOTAL(109,tblDespesas69121521182427303336369121518[MAR])</f>
        <v>0</v>
      </c>
      <c r="F31" s="36">
        <f>SUBTOTAL(109,tblDespesas69121521182427303336369121518[ABR])</f>
        <v>0</v>
      </c>
      <c r="G31" s="36">
        <f>SUBTOTAL(109,tblDespesas69121521182427303336369121518[MAI])</f>
        <v>0</v>
      </c>
      <c r="H31" s="36">
        <f>SUBTOTAL(109,tblDespesas69121521182427303336369121518[JUN])</f>
        <v>1050</v>
      </c>
      <c r="I31" s="36">
        <f>SUBTOTAL(109,tblDespesas69121521182427303336369121518[JUL])</f>
        <v>0</v>
      </c>
      <c r="J31" s="36">
        <f>SUBTOTAL(109,tblDespesas69121521182427303336369121518[AGO])</f>
        <v>0</v>
      </c>
      <c r="K31" s="36">
        <f>SUBTOTAL(109,tblDespesas69121521182427303336369121518[SET])</f>
        <v>0</v>
      </c>
      <c r="L31" s="36">
        <f>SUBTOTAL(109,tblDespesas69121521182427303336369121518[OUT])</f>
        <v>0</v>
      </c>
      <c r="M31" s="36">
        <f>SUBTOTAL(109,tblDespesas69121521182427303336369121518[NOV])</f>
        <v>0</v>
      </c>
      <c r="N31" s="36">
        <f>SUBTOTAL(109,tblDespesas69121521182427303336369121518[DEZ])</f>
        <v>0</v>
      </c>
    </row>
    <row r="32" spans="1:15" ht="21" customHeight="1" x14ac:dyDescent="0.2">
      <c r="B32" s="1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5" ht="21" customHeight="1" x14ac:dyDescent="0.2">
      <c r="B33" s="31"/>
      <c r="C33" s="30"/>
    </row>
    <row r="34" spans="2:15" ht="21" customHeight="1" x14ac:dyDescent="0.2">
      <c r="B34" s="38"/>
    </row>
    <row r="35" spans="2:15" ht="21" customHeight="1" x14ac:dyDescent="0.2">
      <c r="B35" s="37"/>
    </row>
    <row r="36" spans="2:15" ht="21" customHeight="1" x14ac:dyDescent="0.2">
      <c r="B36" s="37"/>
    </row>
    <row r="37" spans="2:15" ht="21" customHeight="1" x14ac:dyDescent="0.2">
      <c r="B37" s="37"/>
    </row>
    <row r="38" spans="2:15" ht="21" customHeight="1" x14ac:dyDescent="0.2">
      <c r="B38" s="29"/>
    </row>
    <row r="39" spans="2:15" ht="21" customHeight="1" x14ac:dyDescent="0.2">
      <c r="B39" s="33"/>
      <c r="C39" s="33"/>
      <c r="D39" s="33"/>
      <c r="O39" s="19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sqref>O29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autoPageBreaks="0" fitToPage="1"/>
  </sheetPr>
  <dimension ref="A1:P39"/>
  <sheetViews>
    <sheetView showGridLines="0" topLeftCell="A10" zoomScale="90" zoomScaleNormal="90" workbookViewId="0">
      <selection activeCell="H21" sqref="H21"/>
    </sheetView>
  </sheetViews>
  <sheetFormatPr defaultRowHeight="21" customHeight="1" x14ac:dyDescent="0.2"/>
  <cols>
    <col min="1" max="1" width="1.42578125" style="2" customWidth="1"/>
    <col min="2" max="2" width="43.7109375" style="2" customWidth="1"/>
    <col min="3" max="13" width="12" style="2" customWidth="1"/>
    <col min="14" max="14" width="13" style="2" customWidth="1"/>
    <col min="15" max="15" width="21.42578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/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4" t="s">
        <v>39</v>
      </c>
      <c r="C2" s="39" t="s">
        <v>38</v>
      </c>
      <c r="D2" s="40" t="s">
        <v>75</v>
      </c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34</v>
      </c>
      <c r="C4" s="17" t="s">
        <v>2</v>
      </c>
      <c r="D4" s="17" t="s">
        <v>3</v>
      </c>
      <c r="E4" s="17" t="s">
        <v>13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</row>
    <row r="5" spans="1:16" s="6" customFormat="1" ht="21" customHeight="1" x14ac:dyDescent="0.2">
      <c r="A5" s="5"/>
      <c r="B5" s="8" t="s">
        <v>35</v>
      </c>
      <c r="C5" s="22">
        <f>tblRenda5811142017232629323525811141720[[#Totals],[JAN]]-tblDespesas6912152118242730333636912151821[[#Totals],[JAN]]</f>
        <v>0</v>
      </c>
      <c r="D5" s="22">
        <f>tblRenda5811142017232629323525811141720[[#Totals],[FEV]]-tblDespesas6912152118242730333636912151821[[#Totals],[FEV]]</f>
        <v>0</v>
      </c>
      <c r="E5" s="22">
        <f>tblRenda5811142017232629323525811141720[[#Totals],[MAR]]-tblDespesas6912152118242730333636912151821[[#Totals],[MAR]]</f>
        <v>0</v>
      </c>
      <c r="F5" s="22">
        <f>tblRenda5811142017232629323525811141720[[#Totals],[ABR]]-tblDespesas6912152118242730333636912151821[[#Totals],[ABR]]</f>
        <v>0</v>
      </c>
      <c r="G5" s="22">
        <f>tblRenda5811142017232629323525811141720[[#Totals],[MAI]]-tblDespesas6912152118242730333636912151821[[#Totals],[MAI]]</f>
        <v>0</v>
      </c>
      <c r="H5" s="22">
        <f>tblRenda5811142017232629323525811141720[[#Totals],[JUN]]-tblDespesas6912152118242730333636912151821[[#Totals],[JUN]]</f>
        <v>0</v>
      </c>
      <c r="I5" s="22">
        <f>tblRenda5811142017232629323525811141720[[#Totals],[JUL]]-tblDespesas6912152118242730333636912151821[[#Totals],[JUL]]</f>
        <v>0</v>
      </c>
      <c r="J5" s="22">
        <f>tblRenda5811142017232629323525811141720[[#Totals],[AGO]]-tblDespesas6912152118242730333636912151821[[#Totals],[AGO]]</f>
        <v>227</v>
      </c>
      <c r="K5" s="22">
        <f>tblRenda5811142017232629323525811141720[[#Totals],[SET]]-tblDespesas6912152118242730333636912151821[[#Totals],[SET]]</f>
        <v>0</v>
      </c>
      <c r="L5" s="22">
        <f>tblRenda5811142017232629323525811141720[[#Totals],[OUT]]-tblDespesas6912152118242730333636912151821[[#Totals],[OUT]]</f>
        <v>0</v>
      </c>
      <c r="M5" s="22">
        <f>tblRenda5811142017232629323525811141720[[#Totals],[NOV]]-tblDespesas6912152118242730333636912151821[[#Totals],[NOV]]</f>
        <v>0</v>
      </c>
      <c r="N5" s="22">
        <f>tblRenda5811142017232629323525811141720[[#Totals],[DEZ]]-tblDespesas6912152118242730333636912151821[[#Totals],[DEZ]]</f>
        <v>0</v>
      </c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32</v>
      </c>
      <c r="C7" s="20" t="s">
        <v>2</v>
      </c>
      <c r="D7" s="17" t="s">
        <v>3</v>
      </c>
      <c r="E7" s="17" t="s">
        <v>13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</row>
    <row r="8" spans="1:16" s="9" customFormat="1" ht="21" customHeight="1" x14ac:dyDescent="0.2">
      <c r="A8" s="7"/>
      <c r="B8" s="1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s="8" customFormat="1" ht="21" customHeight="1" x14ac:dyDescent="0.2">
      <c r="B9" s="15" t="s">
        <v>56</v>
      </c>
      <c r="C9" s="32"/>
      <c r="D9" s="21"/>
      <c r="E9" s="21"/>
      <c r="F9" s="32"/>
      <c r="G9" s="32"/>
      <c r="H9" s="32"/>
      <c r="I9" s="21"/>
      <c r="J9" s="42">
        <v>2000</v>
      </c>
      <c r="K9" s="21"/>
      <c r="L9" s="21"/>
      <c r="M9" s="32"/>
      <c r="N9" s="21"/>
    </row>
    <row r="10" spans="1:16" s="9" customFormat="1" ht="21" customHeight="1" x14ac:dyDescent="0.2">
      <c r="A10" s="7"/>
      <c r="B10" s="1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2"/>
      <c r="N10" s="21"/>
    </row>
    <row r="11" spans="1:16" ht="21" customHeight="1" x14ac:dyDescent="0.2">
      <c r="A11" s="1"/>
      <c r="B11" s="15" t="s">
        <v>20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2"/>
      <c r="N11" s="21"/>
    </row>
    <row r="12" spans="1:16" ht="21" customHeight="1" x14ac:dyDescent="0.2">
      <c r="A12" s="1"/>
      <c r="B12" s="1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</row>
    <row r="13" spans="1:16" ht="21" customHeight="1" x14ac:dyDescent="0.2">
      <c r="A13" s="1"/>
      <c r="B13" s="34" t="s">
        <v>18</v>
      </c>
      <c r="C13" s="35">
        <f>SUBTOTAL(109,tblRenda5811142017232629323525811141720[JAN])</f>
        <v>0</v>
      </c>
      <c r="D13" s="35">
        <f>SUBTOTAL(109,tblRenda5811142017232629323525811141720[FEV])</f>
        <v>0</v>
      </c>
      <c r="E13" s="35">
        <f>SUBTOTAL(109,tblRenda5811142017232629323525811141720[MAR])</f>
        <v>0</v>
      </c>
      <c r="F13" s="35">
        <f>SUBTOTAL(109,tblRenda5811142017232629323525811141720[ABR])</f>
        <v>0</v>
      </c>
      <c r="G13" s="35">
        <f>SUBTOTAL(109,tblRenda5811142017232629323525811141720[MAI])</f>
        <v>0</v>
      </c>
      <c r="H13" s="35">
        <f>SUBTOTAL(109,tblRenda5811142017232629323525811141720[JUN])</f>
        <v>0</v>
      </c>
      <c r="I13" s="35">
        <f>SUBTOTAL(109,tblRenda5811142017232629323525811141720[JUL])</f>
        <v>0</v>
      </c>
      <c r="J13" s="35">
        <f>SUBTOTAL(109,tblRenda5811142017232629323525811141720[AGO])</f>
        <v>2000</v>
      </c>
      <c r="K13" s="35">
        <f>SUBTOTAL(109,tblRenda5811142017232629323525811141720[SET])</f>
        <v>0</v>
      </c>
      <c r="L13" s="35">
        <f>SUBTOTAL(109,tblRenda5811142017232629323525811141720[OUT])</f>
        <v>0</v>
      </c>
      <c r="M13" s="35">
        <f>SUBTOTAL(109,tblRenda5811142017232629323525811141720[NOV])</f>
        <v>0</v>
      </c>
      <c r="N13" s="35">
        <f>SUBTOTAL(109,tblRenda5811142017232629323525811141720[DEZ])</f>
        <v>0</v>
      </c>
    </row>
    <row r="14" spans="1:16" ht="21" customHeight="1" x14ac:dyDescent="0.2">
      <c r="A14" s="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6" ht="21" customHeight="1" x14ac:dyDescent="0.2">
      <c r="A15" s="1"/>
      <c r="B15" s="18" t="s">
        <v>33</v>
      </c>
      <c r="C15" s="17" t="s">
        <v>2</v>
      </c>
      <c r="D15" s="17" t="s">
        <v>3</v>
      </c>
      <c r="E15" s="17" t="s">
        <v>13</v>
      </c>
      <c r="F15" s="17" t="s">
        <v>4</v>
      </c>
      <c r="G15" s="17" t="s">
        <v>5</v>
      </c>
      <c r="H15" s="17" t="s">
        <v>6</v>
      </c>
      <c r="I15" s="17" t="s">
        <v>7</v>
      </c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</row>
    <row r="16" spans="1:16" ht="21" customHeight="1" x14ac:dyDescent="0.2">
      <c r="A16" s="1"/>
      <c r="B16" s="15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</row>
    <row r="17" spans="1:14" ht="21" customHeight="1" x14ac:dyDescent="0.2">
      <c r="A17" s="1"/>
      <c r="B17" s="12" t="s">
        <v>57</v>
      </c>
      <c r="C17" s="32"/>
      <c r="D17" s="21"/>
      <c r="E17" s="21"/>
      <c r="F17" s="32"/>
      <c r="G17" s="21"/>
      <c r="H17" s="32"/>
      <c r="I17" s="21"/>
      <c r="J17" s="42">
        <v>170</v>
      </c>
      <c r="K17" s="21"/>
      <c r="L17" s="21"/>
      <c r="M17" s="21"/>
      <c r="N17" s="21"/>
    </row>
    <row r="18" spans="1:14" ht="21" customHeight="1" x14ac:dyDescent="0.2">
      <c r="A18" s="1"/>
      <c r="B18" s="12" t="s">
        <v>54</v>
      </c>
      <c r="C18" s="32"/>
      <c r="D18" s="21"/>
      <c r="E18" s="21"/>
      <c r="F18" s="32"/>
      <c r="G18" s="21"/>
      <c r="H18" s="32"/>
      <c r="I18" s="21"/>
      <c r="J18" s="42">
        <v>220</v>
      </c>
      <c r="K18" s="21"/>
      <c r="L18" s="21"/>
      <c r="M18" s="21"/>
      <c r="N18" s="21"/>
    </row>
    <row r="19" spans="1:14" ht="21" customHeight="1" x14ac:dyDescent="0.2">
      <c r="A19" s="1"/>
      <c r="B19" s="12" t="s">
        <v>60</v>
      </c>
      <c r="C19" s="32"/>
      <c r="D19" s="21"/>
      <c r="E19" s="21"/>
      <c r="F19" s="32"/>
      <c r="G19" s="21"/>
      <c r="H19" s="32"/>
      <c r="I19" s="21"/>
      <c r="J19" s="42">
        <v>95</v>
      </c>
      <c r="K19" s="21"/>
      <c r="L19" s="21"/>
      <c r="M19" s="21"/>
      <c r="N19" s="21"/>
    </row>
    <row r="20" spans="1:14" ht="21" customHeight="1" x14ac:dyDescent="0.2">
      <c r="A20" s="1"/>
      <c r="B20" s="12" t="s">
        <v>58</v>
      </c>
      <c r="C20" s="32"/>
      <c r="D20" s="21"/>
      <c r="E20" s="21"/>
      <c r="F20" s="32"/>
      <c r="G20" s="21"/>
      <c r="H20" s="32"/>
      <c r="I20" s="21"/>
      <c r="J20" s="42">
        <v>35</v>
      </c>
      <c r="K20" s="21"/>
      <c r="L20" s="21"/>
      <c r="M20" s="21"/>
      <c r="N20" s="21"/>
    </row>
    <row r="21" spans="1:14" ht="21" customHeight="1" x14ac:dyDescent="0.2">
      <c r="A21" s="1"/>
      <c r="B21" s="12" t="s">
        <v>59</v>
      </c>
      <c r="C21" s="32"/>
      <c r="D21" s="21"/>
      <c r="E21" s="21"/>
      <c r="F21" s="32"/>
      <c r="G21" s="21"/>
      <c r="H21" s="32"/>
      <c r="I21" s="21"/>
      <c r="J21" s="42">
        <v>30</v>
      </c>
      <c r="K21" s="21"/>
      <c r="L21" s="21"/>
      <c r="M21" s="21"/>
      <c r="N21" s="21"/>
    </row>
    <row r="22" spans="1:14" ht="21" customHeight="1" x14ac:dyDescent="0.2">
      <c r="A22" s="1"/>
      <c r="B22" s="12" t="s">
        <v>96</v>
      </c>
      <c r="C22" s="32"/>
      <c r="D22" s="21"/>
      <c r="E22" s="21"/>
      <c r="F22" s="32"/>
      <c r="G22" s="21"/>
      <c r="H22" s="32"/>
      <c r="I22" s="21"/>
      <c r="J22" s="42">
        <v>300</v>
      </c>
      <c r="K22" s="21"/>
      <c r="L22" s="21"/>
      <c r="M22" s="21"/>
      <c r="N22" s="21"/>
    </row>
    <row r="23" spans="1:14" ht="21" customHeight="1" x14ac:dyDescent="0.2">
      <c r="A23" s="1"/>
      <c r="B23" s="12"/>
      <c r="C23" s="32"/>
      <c r="D23" s="21"/>
      <c r="E23" s="21"/>
      <c r="F23" s="32"/>
      <c r="G23" s="21"/>
      <c r="H23" s="32"/>
      <c r="I23" s="21"/>
      <c r="J23" s="21"/>
      <c r="K23" s="21"/>
      <c r="L23" s="21"/>
      <c r="M23" s="21"/>
      <c r="N23" s="21"/>
    </row>
    <row r="24" spans="1:14" ht="21" customHeight="1" x14ac:dyDescent="0.2">
      <c r="A24" s="1"/>
      <c r="B24" s="15" t="s">
        <v>24</v>
      </c>
      <c r="C24" s="32"/>
      <c r="D24" s="21"/>
      <c r="E24" s="32"/>
      <c r="F24" s="32"/>
      <c r="G24" s="32"/>
      <c r="H24" s="32"/>
      <c r="I24" s="21"/>
      <c r="J24" s="21"/>
      <c r="K24" s="21"/>
      <c r="L24" s="21"/>
      <c r="M24" s="32"/>
      <c r="N24" s="21"/>
    </row>
    <row r="25" spans="1:14" ht="21" customHeight="1" x14ac:dyDescent="0.2">
      <c r="A25" s="1"/>
      <c r="B25" s="12" t="s">
        <v>77</v>
      </c>
      <c r="C25" s="32"/>
      <c r="D25" s="21"/>
      <c r="E25" s="32"/>
      <c r="F25" s="32"/>
      <c r="G25" s="32"/>
      <c r="H25" s="32"/>
      <c r="I25" s="21"/>
      <c r="J25" s="42">
        <v>100</v>
      </c>
      <c r="K25" s="21"/>
      <c r="L25" s="21"/>
      <c r="M25" s="32"/>
      <c r="N25" s="21"/>
    </row>
    <row r="26" spans="1:14" customFormat="1" ht="21" customHeight="1" x14ac:dyDescent="0.2">
      <c r="B26" s="12" t="s">
        <v>78</v>
      </c>
      <c r="C26" s="32"/>
      <c r="D26" s="21"/>
      <c r="E26" s="32"/>
      <c r="F26" s="32"/>
      <c r="G26" s="32"/>
      <c r="H26" s="32"/>
      <c r="I26" s="21"/>
      <c r="J26" s="42">
        <v>100</v>
      </c>
      <c r="K26" s="21"/>
      <c r="L26" s="21"/>
      <c r="M26" s="32"/>
      <c r="N26" s="21"/>
    </row>
    <row r="27" spans="1:14" ht="21" customHeight="1" x14ac:dyDescent="0.2">
      <c r="A27" s="1"/>
      <c r="B27" s="12" t="s">
        <v>95</v>
      </c>
      <c r="C27" s="32"/>
      <c r="D27" s="21"/>
      <c r="E27" s="32"/>
      <c r="F27" s="32"/>
      <c r="G27" s="32"/>
      <c r="H27" s="32"/>
      <c r="I27" s="21"/>
      <c r="J27" s="42">
        <v>723</v>
      </c>
      <c r="K27" s="21"/>
      <c r="L27" s="21"/>
      <c r="M27" s="32"/>
      <c r="N27" s="21"/>
    </row>
    <row r="28" spans="1:14" ht="21" customHeight="1" x14ac:dyDescent="0.2">
      <c r="B28" s="12"/>
      <c r="C28" s="32"/>
      <c r="D28" s="21"/>
      <c r="E28" s="32"/>
      <c r="F28" s="32"/>
      <c r="G28" s="32"/>
      <c r="H28" s="21"/>
      <c r="I28" s="21"/>
      <c r="J28" s="21"/>
      <c r="K28" s="21"/>
      <c r="L28" s="21"/>
      <c r="M28" s="32"/>
      <c r="N28" s="21"/>
    </row>
    <row r="29" spans="1:14" ht="21" customHeight="1" x14ac:dyDescent="0.2">
      <c r="B29" s="15" t="s">
        <v>27</v>
      </c>
      <c r="C29" s="32"/>
      <c r="D29" s="21"/>
      <c r="E29" s="32"/>
      <c r="F29" s="32"/>
      <c r="G29" s="32"/>
      <c r="H29" s="21"/>
      <c r="I29" s="21"/>
      <c r="J29" s="21"/>
      <c r="K29" s="21"/>
      <c r="L29" s="21"/>
      <c r="M29" s="32"/>
      <c r="N29" s="21"/>
    </row>
    <row r="30" spans="1:14" ht="21" customHeight="1" x14ac:dyDescent="0.2">
      <c r="B30" s="1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21" customHeight="1" x14ac:dyDescent="0.2">
      <c r="B31" s="34" t="s">
        <v>16</v>
      </c>
      <c r="C31" s="36">
        <f>SUBTOTAL(109,tblDespesas6912152118242730333636912151821[JAN])</f>
        <v>0</v>
      </c>
      <c r="D31" s="36">
        <f>SUBTOTAL(109,tblDespesas6912152118242730333636912151821[FEV])</f>
        <v>0</v>
      </c>
      <c r="E31" s="36">
        <f>SUBTOTAL(109,tblDespesas6912152118242730333636912151821[MAR])</f>
        <v>0</v>
      </c>
      <c r="F31" s="36">
        <f>SUBTOTAL(109,tblDespesas6912152118242730333636912151821[ABR])</f>
        <v>0</v>
      </c>
      <c r="G31" s="36">
        <f>SUBTOTAL(109,tblDespesas6912152118242730333636912151821[MAI])</f>
        <v>0</v>
      </c>
      <c r="H31" s="36">
        <f>SUBTOTAL(109,tblDespesas6912152118242730333636912151821[JUN])</f>
        <v>0</v>
      </c>
      <c r="I31" s="36">
        <f>SUBTOTAL(109,tblDespesas6912152118242730333636912151821[JUL])</f>
        <v>0</v>
      </c>
      <c r="J31" s="36">
        <f>SUBTOTAL(109,tblDespesas6912152118242730333636912151821[AGO])</f>
        <v>1773</v>
      </c>
      <c r="K31" s="36">
        <f>SUBTOTAL(109,tblDespesas6912152118242730333636912151821[SET])</f>
        <v>0</v>
      </c>
      <c r="L31" s="36">
        <f>SUBTOTAL(109,tblDespesas6912152118242730333636912151821[OUT])</f>
        <v>0</v>
      </c>
      <c r="M31" s="36">
        <f>SUBTOTAL(109,tblDespesas6912152118242730333636912151821[NOV])</f>
        <v>0</v>
      </c>
      <c r="N31" s="36">
        <f>SUBTOTAL(109,tblDespesas6912152118242730333636912151821[DEZ])</f>
        <v>0</v>
      </c>
    </row>
    <row r="32" spans="1:14" ht="21" customHeight="1" x14ac:dyDescent="0.2">
      <c r="B32" s="1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5" ht="21" customHeight="1" x14ac:dyDescent="0.2">
      <c r="B33" s="31"/>
      <c r="C33" s="30"/>
    </row>
    <row r="34" spans="2:15" ht="21" customHeight="1" x14ac:dyDescent="0.2">
      <c r="B34" s="38"/>
    </row>
    <row r="35" spans="2:15" ht="21" customHeight="1" x14ac:dyDescent="0.2">
      <c r="B35" s="37"/>
    </row>
    <row r="36" spans="2:15" ht="21" customHeight="1" x14ac:dyDescent="0.2">
      <c r="B36" s="37"/>
    </row>
    <row r="37" spans="2:15" ht="21" customHeight="1" x14ac:dyDescent="0.2">
      <c r="B37" s="37"/>
    </row>
    <row r="38" spans="2:15" ht="21" customHeight="1" x14ac:dyDescent="0.2">
      <c r="B38" s="29"/>
    </row>
    <row r="39" spans="2:15" ht="21" customHeight="1" x14ac:dyDescent="0.2">
      <c r="B39" s="33"/>
      <c r="C39" s="33"/>
      <c r="D39" s="33"/>
      <c r="O39" s="19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Footer>Página &amp;P de &amp;N</oddFooter>
  </headerFooter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26</vt:i4>
      </vt:variant>
    </vt:vector>
  </HeadingPairs>
  <TitlesOfParts>
    <vt:vector size="39" baseType="lpstr">
      <vt:lpstr>Total Ano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Abr!AnoOrçamento</vt:lpstr>
      <vt:lpstr>Ago!AnoOrçamento</vt:lpstr>
      <vt:lpstr>Dez!AnoOrçamento</vt:lpstr>
      <vt:lpstr>Fev!AnoOrçamento</vt:lpstr>
      <vt:lpstr>Jan!AnoOrçamento</vt:lpstr>
      <vt:lpstr>Jul!AnoOrçamento</vt:lpstr>
      <vt:lpstr>Jun!AnoOrçamento</vt:lpstr>
      <vt:lpstr>Mai!AnoOrçamento</vt:lpstr>
      <vt:lpstr>Mar!AnoOrçamento</vt:lpstr>
      <vt:lpstr>Nov!AnoOrçamento</vt:lpstr>
      <vt:lpstr>Out!AnoOrçamento</vt:lpstr>
      <vt:lpstr>Set!AnoOrçamento</vt:lpstr>
      <vt:lpstr>'Total Ano'!AnoOrçamento</vt:lpstr>
      <vt:lpstr>Abr!Imprimir_Títulos</vt:lpstr>
      <vt:lpstr>Ago!Imprimir_Títulos</vt:lpstr>
      <vt:lpstr>Dez!Imprimir_Títulos</vt:lpstr>
      <vt:lpstr>Fev!Imprimir_Títulos</vt:lpstr>
      <vt:lpstr>Jan!Imprimir_Títulos</vt:lpstr>
      <vt:lpstr>Jul!Imprimir_Títulos</vt:lpstr>
      <vt:lpstr>Jun!Imprimir_Títulos</vt:lpstr>
      <vt:lpstr>Mai!Imprimir_Títulos</vt:lpstr>
      <vt:lpstr>Mar!Imprimir_Títulos</vt:lpstr>
      <vt:lpstr>Nov!Imprimir_Títulos</vt:lpstr>
      <vt:lpstr>Out!Imprimir_Títulos</vt:lpstr>
      <vt:lpstr>Set!Imprimir_Títulos</vt:lpstr>
      <vt:lpstr>'Total Ano'!Imprimir_Títulos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2014-01-25T19:07:16Z</dcterms:created>
  <dcterms:modified xsi:type="dcterms:W3CDTF">2016-04-16T16:24:01Z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